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MANAGEMENT\Upravno vijeće\2024\2. sjednica ožujak 2024\Točka 2. Izvještaj o izvršenju financijskog plana\Nadopune\"/>
    </mc:Choice>
  </mc:AlternateContent>
  <bookViews>
    <workbookView xWindow="0" yWindow="0" windowWidth="28800" windowHeight="12300" tabRatio="727" activeTab="2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7" r:id="rId7"/>
  </sheets>
  <definedNames>
    <definedName name="_xlnm.Print_Area" localSheetId="1">' Račun prihoda i rashoda'!$B$1:$L$77</definedName>
    <definedName name="_xlnm.Print_Area" localSheetId="0">SAŽETAK!$B$1:$K$26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" i="1" l="1"/>
  <c r="L23" i="1"/>
  <c r="L22" i="1"/>
  <c r="L21" i="1"/>
  <c r="L20" i="1"/>
  <c r="L15" i="1"/>
  <c r="L14" i="1"/>
  <c r="L13" i="1"/>
  <c r="L12" i="1"/>
  <c r="L11" i="1"/>
  <c r="L10" i="1"/>
  <c r="G41" i="3"/>
  <c r="G53" i="3"/>
  <c r="K63" i="3"/>
  <c r="L78" i="3"/>
  <c r="L75" i="3"/>
  <c r="L74" i="3"/>
  <c r="L71" i="3"/>
  <c r="L68" i="3"/>
  <c r="L38" i="3"/>
  <c r="L30" i="3"/>
  <c r="L29" i="3"/>
  <c r="L28" i="3"/>
  <c r="I20" i="3"/>
  <c r="L16" i="3"/>
  <c r="L17" i="3"/>
  <c r="L20" i="3"/>
  <c r="L21" i="3"/>
  <c r="L13" i="3"/>
  <c r="L12" i="3"/>
  <c r="L11" i="3"/>
  <c r="L10" i="3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8" i="8"/>
  <c r="H7" i="8"/>
  <c r="H6" i="8"/>
  <c r="F159" i="7"/>
  <c r="E159" i="7"/>
  <c r="F158" i="7"/>
  <c r="E158" i="7"/>
  <c r="F157" i="7"/>
  <c r="E157" i="7"/>
  <c r="F156" i="7"/>
  <c r="E156" i="7"/>
  <c r="D159" i="7"/>
  <c r="D158" i="7"/>
  <c r="D157" i="7"/>
  <c r="D156" i="7"/>
  <c r="G156" i="7" l="1"/>
  <c r="G157" i="7"/>
  <c r="G158" i="7"/>
  <c r="G159" i="7"/>
  <c r="E155" i="7"/>
  <c r="F155" i="7"/>
  <c r="D155" i="7"/>
  <c r="J25" i="1" l="1"/>
  <c r="I25" i="1"/>
  <c r="L25" i="1" s="1"/>
  <c r="J12" i="1"/>
  <c r="J13" i="1"/>
  <c r="I13" i="1"/>
  <c r="I12" i="1"/>
  <c r="G52" i="3"/>
  <c r="G44" i="3"/>
  <c r="G42" i="3"/>
  <c r="G40" i="3"/>
  <c r="G37" i="3"/>
  <c r="G35" i="3"/>
  <c r="G33" i="3"/>
  <c r="G32" i="3"/>
  <c r="I14" i="1" l="1"/>
  <c r="I17" i="3"/>
  <c r="I16" i="3"/>
  <c r="I13" i="3"/>
  <c r="I12" i="3"/>
  <c r="J32" i="3"/>
  <c r="J33" i="3"/>
  <c r="E11" i="5"/>
  <c r="E7" i="5"/>
  <c r="E6" i="5" s="1"/>
  <c r="E145" i="7"/>
  <c r="E144" i="7" s="1"/>
  <c r="E139" i="7"/>
  <c r="E138" i="7" s="1"/>
  <c r="E133" i="7"/>
  <c r="E132" i="7" s="1"/>
  <c r="E128" i="7"/>
  <c r="E127" i="7" s="1"/>
  <c r="E123" i="7"/>
  <c r="E122" i="7" s="1"/>
  <c r="E117" i="7"/>
  <c r="E116" i="7"/>
  <c r="E106" i="7"/>
  <c r="E105" i="7"/>
  <c r="E100" i="7"/>
  <c r="E99" i="7" s="1"/>
  <c r="E77" i="7"/>
  <c r="E55" i="7"/>
  <c r="E47" i="7"/>
  <c r="E12" i="7"/>
  <c r="E54" i="7" l="1"/>
  <c r="E11" i="7"/>
  <c r="E10" i="7" s="1"/>
  <c r="E9" i="7" s="1"/>
  <c r="E8" i="7" s="1"/>
  <c r="G155" i="7"/>
  <c r="J56" i="3"/>
  <c r="H17" i="3" l="1"/>
  <c r="K24" i="1"/>
  <c r="K21" i="1"/>
  <c r="K20" i="1"/>
  <c r="J77" i="3"/>
  <c r="J60" i="3"/>
  <c r="J35" i="3"/>
  <c r="J81" i="3"/>
  <c r="J80" i="3"/>
  <c r="J64" i="3"/>
  <c r="J58" i="3"/>
  <c r="J57" i="3"/>
  <c r="J54" i="3"/>
  <c r="J53" i="3"/>
  <c r="J52" i="3"/>
  <c r="J50" i="3"/>
  <c r="J46" i="3"/>
  <c r="J44" i="3"/>
  <c r="J42" i="3"/>
  <c r="J41" i="3"/>
  <c r="J40" i="3"/>
  <c r="K23" i="1" l="1"/>
  <c r="J37" i="3"/>
  <c r="G81" i="3"/>
  <c r="G80" i="3"/>
  <c r="G77" i="3"/>
  <c r="G64" i="3"/>
  <c r="G60" i="3"/>
  <c r="G58" i="3"/>
  <c r="G57" i="3"/>
  <c r="G56" i="3"/>
  <c r="G55" i="3"/>
  <c r="G54" i="3"/>
  <c r="G50" i="3"/>
  <c r="G46" i="3"/>
  <c r="J17" i="3"/>
  <c r="H13" i="3"/>
  <c r="H78" i="3"/>
  <c r="H75" i="3"/>
  <c r="H71" i="3"/>
  <c r="H68" i="3"/>
  <c r="H38" i="3"/>
  <c r="H30" i="3"/>
  <c r="D11" i="5" l="1"/>
  <c r="D13" i="5"/>
  <c r="G9" i="5" l="1"/>
  <c r="D7" i="5"/>
  <c r="H21" i="3" s="1"/>
  <c r="F7" i="5"/>
  <c r="C7" i="5"/>
  <c r="F18" i="7" l="1"/>
  <c r="F13" i="7"/>
  <c r="D12" i="7"/>
  <c r="F56" i="7"/>
  <c r="F61" i="7"/>
  <c r="D55" i="7"/>
  <c r="D77" i="7"/>
  <c r="F55" i="7" l="1"/>
  <c r="F49" i="7"/>
  <c r="F124" i="7"/>
  <c r="F129" i="7"/>
  <c r="F140" i="7"/>
  <c r="H25" i="1" l="1"/>
  <c r="G25" i="1"/>
  <c r="G12" i="7"/>
  <c r="F44" i="7"/>
  <c r="F12" i="7" s="1"/>
  <c r="D47" i="7"/>
  <c r="D11" i="7" s="1"/>
  <c r="F48" i="7"/>
  <c r="F47" i="7" s="1"/>
  <c r="G47" i="7" s="1"/>
  <c r="G61" i="7"/>
  <c r="F78" i="7"/>
  <c r="G78" i="7" s="1"/>
  <c r="F83" i="7"/>
  <c r="G83" i="7" s="1"/>
  <c r="D54" i="7"/>
  <c r="D100" i="7"/>
  <c r="D99" i="7" s="1"/>
  <c r="F101" i="7"/>
  <c r="F100" i="7" s="1"/>
  <c r="F107" i="7"/>
  <c r="G107" i="7" s="1"/>
  <c r="F110" i="7"/>
  <c r="D106" i="7"/>
  <c r="D105" i="7" s="1"/>
  <c r="F118" i="7"/>
  <c r="F117" i="7" s="1"/>
  <c r="D117" i="7"/>
  <c r="D116" i="7" s="1"/>
  <c r="G124" i="7"/>
  <c r="D123" i="7"/>
  <c r="D122" i="7" s="1"/>
  <c r="F128" i="7"/>
  <c r="F127" i="7" s="1"/>
  <c r="D128" i="7"/>
  <c r="D127" i="7" s="1"/>
  <c r="F134" i="7"/>
  <c r="F133" i="7" s="1"/>
  <c r="F132" i="7" s="1"/>
  <c r="D133" i="7"/>
  <c r="D132" i="7" s="1"/>
  <c r="D139" i="7"/>
  <c r="D138" i="7" s="1"/>
  <c r="F139" i="7"/>
  <c r="D145" i="7"/>
  <c r="D144" i="7" s="1"/>
  <c r="F146" i="7"/>
  <c r="G146" i="7" s="1"/>
  <c r="G97" i="7"/>
  <c r="G98" i="7"/>
  <c r="G75" i="7"/>
  <c r="G76" i="7"/>
  <c r="G41" i="7"/>
  <c r="G42" i="7"/>
  <c r="G43" i="7"/>
  <c r="G44" i="7"/>
  <c r="C7" i="8"/>
  <c r="C6" i="8" s="1"/>
  <c r="F22" i="5"/>
  <c r="D22" i="5"/>
  <c r="C22" i="5"/>
  <c r="G22" i="5" s="1"/>
  <c r="F13" i="5"/>
  <c r="C13" i="5"/>
  <c r="F11" i="5"/>
  <c r="D6" i="5"/>
  <c r="C11" i="5"/>
  <c r="D20" i="5"/>
  <c r="F20" i="5"/>
  <c r="C20" i="5"/>
  <c r="D16" i="5"/>
  <c r="F16" i="5"/>
  <c r="C16" i="5"/>
  <c r="G8" i="5"/>
  <c r="G10" i="5"/>
  <c r="G12" i="5"/>
  <c r="G14" i="5"/>
  <c r="G17" i="5"/>
  <c r="G18" i="5"/>
  <c r="G19" i="5"/>
  <c r="G21" i="5"/>
  <c r="G23" i="5"/>
  <c r="J69" i="3"/>
  <c r="H22" i="1"/>
  <c r="J22" i="1"/>
  <c r="G22" i="1"/>
  <c r="K25" i="1" l="1"/>
  <c r="K22" i="1"/>
  <c r="D10" i="7"/>
  <c r="F11" i="7"/>
  <c r="G11" i="7" s="1"/>
  <c r="D15" i="5"/>
  <c r="G7" i="5"/>
  <c r="F6" i="5"/>
  <c r="F15" i="5"/>
  <c r="G13" i="5"/>
  <c r="G11" i="5"/>
  <c r="G48" i="7"/>
  <c r="G101" i="7"/>
  <c r="G118" i="7"/>
  <c r="G13" i="7"/>
  <c r="D9" i="7"/>
  <c r="D8" i="7" s="1"/>
  <c r="D8" i="8" s="1"/>
  <c r="D7" i="8" s="1"/>
  <c r="D6" i="8" s="1"/>
  <c r="G18" i="7"/>
  <c r="G56" i="7"/>
  <c r="F106" i="7"/>
  <c r="G106" i="7" s="1"/>
  <c r="G55" i="7"/>
  <c r="G129" i="7"/>
  <c r="F123" i="7"/>
  <c r="G134" i="7"/>
  <c r="F145" i="7"/>
  <c r="F144" i="7" s="1"/>
  <c r="G144" i="7" s="1"/>
  <c r="F77" i="7"/>
  <c r="G77" i="7" s="1"/>
  <c r="F99" i="7"/>
  <c r="G99" i="7" s="1"/>
  <c r="G100" i="7"/>
  <c r="G110" i="7"/>
  <c r="G117" i="7"/>
  <c r="F116" i="7"/>
  <c r="G116" i="7" s="1"/>
  <c r="G127" i="7"/>
  <c r="G128" i="7"/>
  <c r="G133" i="7"/>
  <c r="G132" i="7"/>
  <c r="F138" i="7"/>
  <c r="G138" i="7" s="1"/>
  <c r="G139" i="7"/>
  <c r="G140" i="7"/>
  <c r="C6" i="5"/>
  <c r="G20" i="5"/>
  <c r="G16" i="5"/>
  <c r="C15" i="5"/>
  <c r="J72" i="3"/>
  <c r="J71" i="3" s="1"/>
  <c r="G72" i="3"/>
  <c r="G71" i="3" s="1"/>
  <c r="G69" i="3"/>
  <c r="G68" i="3" s="1"/>
  <c r="J68" i="3"/>
  <c r="J39" i="3"/>
  <c r="G39" i="3"/>
  <c r="J43" i="3"/>
  <c r="G43" i="3"/>
  <c r="J49" i="3"/>
  <c r="G49" i="3"/>
  <c r="K73" i="3"/>
  <c r="K70" i="3"/>
  <c r="K67" i="3"/>
  <c r="K66" i="3"/>
  <c r="K65" i="3"/>
  <c r="K64" i="3"/>
  <c r="K62" i="3"/>
  <c r="K60" i="3"/>
  <c r="K58" i="3"/>
  <c r="K57" i="3"/>
  <c r="K56" i="3"/>
  <c r="K55" i="3"/>
  <c r="K54" i="3"/>
  <c r="K53" i="3"/>
  <c r="K52" i="3"/>
  <c r="K51" i="3"/>
  <c r="K50" i="3"/>
  <c r="K48" i="3"/>
  <c r="K47" i="3"/>
  <c r="K46" i="3"/>
  <c r="K45" i="3"/>
  <c r="K44" i="3"/>
  <c r="K42" i="3"/>
  <c r="K41" i="3"/>
  <c r="K40" i="3"/>
  <c r="K37" i="3"/>
  <c r="K35" i="3"/>
  <c r="K33" i="3"/>
  <c r="J61" i="3"/>
  <c r="G61" i="3"/>
  <c r="J59" i="3"/>
  <c r="G59" i="3"/>
  <c r="J76" i="3"/>
  <c r="J75" i="3" s="1"/>
  <c r="G76" i="3"/>
  <c r="G75" i="3" s="1"/>
  <c r="J79" i="3"/>
  <c r="G79" i="3"/>
  <c r="H74" i="3"/>
  <c r="H13" i="1" s="1"/>
  <c r="J82" i="3"/>
  <c r="G82" i="3"/>
  <c r="H29" i="3"/>
  <c r="H12" i="1" s="1"/>
  <c r="J36" i="3"/>
  <c r="G36" i="3"/>
  <c r="J34" i="3"/>
  <c r="G34" i="3"/>
  <c r="K34" i="3" s="1"/>
  <c r="J31" i="3"/>
  <c r="G31" i="3"/>
  <c r="J78" i="3" l="1"/>
  <c r="J74" i="3" s="1"/>
  <c r="K61" i="3"/>
  <c r="K59" i="3"/>
  <c r="K71" i="3"/>
  <c r="G6" i="5"/>
  <c r="G15" i="5"/>
  <c r="F105" i="7"/>
  <c r="G105" i="7" s="1"/>
  <c r="G145" i="7"/>
  <c r="F54" i="7"/>
  <c r="F10" i="7" s="1"/>
  <c r="F9" i="7" s="1"/>
  <c r="F8" i="7" s="1"/>
  <c r="F8" i="8" s="1"/>
  <c r="F122" i="7"/>
  <c r="G122" i="7" s="1"/>
  <c r="G123" i="7"/>
  <c r="K68" i="3"/>
  <c r="K49" i="3"/>
  <c r="K43" i="3"/>
  <c r="J38" i="3"/>
  <c r="K39" i="3"/>
  <c r="K36" i="3"/>
  <c r="J30" i="3"/>
  <c r="H14" i="1"/>
  <c r="H28" i="3"/>
  <c r="G78" i="3"/>
  <c r="G74" i="3" s="1"/>
  <c r="G38" i="3"/>
  <c r="G30" i="3"/>
  <c r="K83" i="3"/>
  <c r="K82" i="3"/>
  <c r="K81" i="3"/>
  <c r="K80" i="3"/>
  <c r="K79" i="3"/>
  <c r="K31" i="3"/>
  <c r="K32" i="3"/>
  <c r="K75" i="3"/>
  <c r="K76" i="3"/>
  <c r="K77" i="3"/>
  <c r="G8" i="8" l="1"/>
  <c r="F7" i="8"/>
  <c r="K78" i="3"/>
  <c r="K30" i="3"/>
  <c r="G54" i="7"/>
  <c r="K38" i="3"/>
  <c r="J29" i="3"/>
  <c r="G13" i="1"/>
  <c r="K74" i="3"/>
  <c r="G29" i="3"/>
  <c r="G12" i="1" s="1"/>
  <c r="H16" i="3"/>
  <c r="J16" i="3"/>
  <c r="G17" i="3"/>
  <c r="G16" i="3" s="1"/>
  <c r="K19" i="3"/>
  <c r="H12" i="3"/>
  <c r="J13" i="3"/>
  <c r="J12" i="3" s="1"/>
  <c r="G13" i="3"/>
  <c r="G12" i="3" s="1"/>
  <c r="H20" i="3"/>
  <c r="J21" i="3"/>
  <c r="J20" i="3" s="1"/>
  <c r="G21" i="3"/>
  <c r="G20" i="3" s="1"/>
  <c r="K14" i="3"/>
  <c r="K15" i="3"/>
  <c r="K18" i="3"/>
  <c r="K22" i="3"/>
  <c r="K23" i="3"/>
  <c r="J11" i="3" l="1"/>
  <c r="J10" i="3" s="1"/>
  <c r="J10" i="1" s="1"/>
  <c r="K13" i="1"/>
  <c r="G7" i="8"/>
  <c r="F6" i="8"/>
  <c r="G14" i="1"/>
  <c r="G10" i="7"/>
  <c r="J28" i="3"/>
  <c r="K29" i="3"/>
  <c r="G28" i="3"/>
  <c r="K13" i="3"/>
  <c r="K21" i="3"/>
  <c r="G11" i="3"/>
  <c r="H11" i="3"/>
  <c r="K17" i="3"/>
  <c r="K16" i="3"/>
  <c r="K12" i="3"/>
  <c r="H10" i="3" l="1"/>
  <c r="I11" i="3"/>
  <c r="G6" i="8"/>
  <c r="J14" i="1"/>
  <c r="K12" i="1"/>
  <c r="G8" i="7"/>
  <c r="G9" i="7"/>
  <c r="K28" i="3"/>
  <c r="K11" i="3"/>
  <c r="G10" i="3"/>
  <c r="K20" i="3"/>
  <c r="H10" i="1" l="1"/>
  <c r="H11" i="1" s="1"/>
  <c r="I10" i="3"/>
  <c r="I10" i="1" s="1"/>
  <c r="I11" i="1" s="1"/>
  <c r="I15" i="1" s="1"/>
  <c r="I26" i="1" s="1"/>
  <c r="J11" i="1"/>
  <c r="J15" i="1" s="1"/>
  <c r="J26" i="1" s="1"/>
  <c r="K14" i="1"/>
  <c r="H15" i="1"/>
  <c r="K10" i="3"/>
  <c r="G10" i="1"/>
  <c r="G11" i="1" s="1"/>
  <c r="G15" i="1" s="1"/>
  <c r="G26" i="1" s="1"/>
  <c r="K10" i="1" l="1"/>
  <c r="K11" i="1"/>
  <c r="K15" i="1"/>
  <c r="H26" i="1"/>
</calcChain>
</file>

<file path=xl/sharedStrings.xml><?xml version="1.0" encoding="utf-8"?>
<sst xmlns="http://schemas.openxmlformats.org/spreadsheetml/2006/main" count="393" uniqueCount="169">
  <si>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</si>
  <si>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</si>
  <si>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</si>
  <si>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</si>
  <si>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</si>
  <si>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</si>
  <si>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</si>
  <si>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Rashodi za nabavu neproizvedene dugotrajne imovine</t>
  </si>
  <si>
    <t>BROJČANA OZNAKA I NAZIV</t>
  </si>
  <si>
    <t>01 Opće javne usluge</t>
  </si>
  <si>
    <t>011 Izvršna i zakonodavna tijela, financijski i fiskalni poslovi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</si>
  <si>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</si>
  <si>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</si>
  <si>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</si>
  <si>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</si>
  <si>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</si>
  <si>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</si>
  <si>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</si>
  <si>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Pomoći iz inozemstva i od subjekata unutar općeg proračuna</t>
  </si>
  <si>
    <t>PRIJENOS SREDSTAVA IZ PRETHODNE GODINE</t>
  </si>
  <si>
    <t>1 Opći prihodi i primici</t>
  </si>
  <si>
    <t>11 Opći prihodi i primici</t>
  </si>
  <si>
    <t>12 Sredstva učešća za pomoći</t>
  </si>
  <si>
    <t>2 Doprinosi</t>
  </si>
  <si>
    <t>21 Doprinosi za mirovinsko osiguranje</t>
  </si>
  <si>
    <t>3 Vlastiti prihodi</t>
  </si>
  <si>
    <t>31 Vlastiti prihodi</t>
  </si>
  <si>
    <t>INDEKS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</si>
  <si>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</si>
  <si>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</si>
  <si>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</si>
  <si>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</si>
  <si>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</si>
  <si>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Prihodi od prodaje proizvoda i robe te pruženih usluga</t>
  </si>
  <si>
    <t>Prihodi od prodaje proizvoda i robe</t>
  </si>
  <si>
    <t>Plaće (Bruto)</t>
  </si>
  <si>
    <t>Plaće za redovan rad</t>
  </si>
  <si>
    <t>Naknade troškova zaposlenima</t>
  </si>
  <si>
    <t>Službena putovanja</t>
  </si>
  <si>
    <t>6=5/2*100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</si>
  <si>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</si>
  <si>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</si>
  <si>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</si>
  <si>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</si>
  <si>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</si>
  <si>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</si>
  <si>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</si>
  <si>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</si>
  <si>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</si>
  <si>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</si>
  <si>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</si>
  <si>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 xml:space="preserve">UKUPNO PRIHODI </t>
  </si>
  <si>
    <t>UKUPNO RASHODI</t>
  </si>
  <si>
    <t>UKUPNO PRIHODI</t>
  </si>
  <si>
    <t>TEKUĆI PLAN 2023.*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</si>
  <si>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</si>
  <si>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</si>
  <si>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</si>
  <si>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</si>
  <si>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</si>
  <si>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</si>
  <si>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>IZVJEŠTAJ PO PROGRAMSKOJ KLASIFIKACIJI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</si>
  <si>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</si>
  <si>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</si>
  <si>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</si>
  <si>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</si>
  <si>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</si>
  <si>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 xml:space="preserve"> </t>
  </si>
  <si>
    <t>Prihodi iz proračuna</t>
  </si>
  <si>
    <t>Prihodi iz nadležnog proračuna za financiranje rashoda</t>
  </si>
  <si>
    <t>Pomoći od međunarodnih organizacija te institucija i tijela EU</t>
  </si>
  <si>
    <t>Tekuće pomoći od institucija i tijela EU</t>
  </si>
  <si>
    <t>Kapitalne pomoći od institucija i tijela EU</t>
  </si>
  <si>
    <t>Prihodi od prodaje proizvoda i robe te pruženih usluga i prihodi od donacija</t>
  </si>
  <si>
    <t>Prihodi od pruženih usluga</t>
  </si>
  <si>
    <t>Plaće za prekovremeni rad</t>
  </si>
  <si>
    <t>Ostali rashodi za zaposlene</t>
  </si>
  <si>
    <t>Doprinosi na plaće</t>
  </si>
  <si>
    <t>Doprinosi za obvezno zdravstveno osiguranje</t>
  </si>
  <si>
    <t>Naknade za prijevoz, za rad na terenu i odvojeni život</t>
  </si>
  <si>
    <t>Stručno usavršavanje zaposlenika</t>
  </si>
  <si>
    <t>Rashodi za materijal i energiju</t>
  </si>
  <si>
    <t>Uredski materijal i ostali materijalni rashodi</t>
  </si>
  <si>
    <t>Materijal i sirovine</t>
  </si>
  <si>
    <t>Energija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</si>
  <si>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</si>
  <si>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</si>
  <si>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</si>
  <si>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</si>
  <si>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</si>
  <si>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</si>
  <si>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</si>
  <si>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</si>
  <si>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</si>
  <si>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</si>
  <si>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</si>
  <si>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</si>
  <si>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</si>
  <si>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Ostali nespomenuti rashodi poslovanja</t>
  </si>
  <si>
    <t>Naknade za rad predstavničkih i izvršnih tijela, povjerenstava i slično</t>
  </si>
  <si>
    <t>Reprezentacija</t>
  </si>
  <si>
    <t>Članarine i norme</t>
  </si>
  <si>
    <t>Pristojbe i naknade</t>
  </si>
  <si>
    <t>Financijski rashodi</t>
  </si>
  <si>
    <t>Ostali financijski rashodi</t>
  </si>
  <si>
    <t>Zatezne kamate</t>
  </si>
  <si>
    <t>Naknade građanima i kućanstvima na temelju osiguranja i druge naknade</t>
  </si>
  <si>
    <t>Ostale naknade građanima i kućanstvima iz proračuna</t>
  </si>
  <si>
    <t>Naknade građanima i kućanstvima u novcu</t>
  </si>
  <si>
    <t>Nematerijalna imovina</t>
  </si>
  <si>
    <t>Licence</t>
  </si>
  <si>
    <t>Rashodi za nabavu proizvedene dugotrajne imovine</t>
  </si>
  <si>
    <t>Postrojenja i oprema</t>
  </si>
  <si>
    <t>Uredska oprema i namještaj</t>
  </si>
  <si>
    <t>Komunikacijska oprema</t>
  </si>
  <si>
    <t>Nematerijalna proizvedena imovina</t>
  </si>
  <si>
    <t>Ulaganja u računalne programe</t>
  </si>
  <si>
    <t>5 Pomoći</t>
  </si>
  <si>
    <t>56 Fondovi EU</t>
  </si>
  <si>
    <t xml:space="preserve">UKUPNO RASHODI </t>
  </si>
  <si>
    <t>06125</t>
  </si>
  <si>
    <t>Središnja agencija za financiranje i ugovaranje programa i projekata Europske unije</t>
  </si>
  <si>
    <t>Financijski i fiskalni sustav</t>
  </si>
  <si>
    <t>A825001</t>
  </si>
  <si>
    <t>K825028</t>
  </si>
  <si>
    <t>T825020</t>
  </si>
  <si>
    <t>T825021</t>
  </si>
  <si>
    <t>T825022</t>
  </si>
  <si>
    <t>T825023</t>
  </si>
  <si>
    <t>T825024</t>
  </si>
  <si>
    <t>T825025</t>
  </si>
  <si>
    <t>T825026</t>
  </si>
  <si>
    <t>T825027</t>
  </si>
  <si>
    <t>Upravljanje projektima pretpristupnih i ESI fondova</t>
  </si>
  <si>
    <t>Administracija i upravljanje Središnje agencije za financiranje i ugovaranje programa i projekata Europske unije</t>
  </si>
  <si>
    <t>Opći prihodi i primici</t>
  </si>
  <si>
    <t>Vlastiti prihodi</t>
  </si>
  <si>
    <t>OP Konkurentnost i kohezija, Tehnička pomoć SAFU</t>
  </si>
  <si>
    <t>Sredstva učešća za pomoći</t>
  </si>
  <si>
    <t>Europski fond za regionalni razvoj</t>
  </si>
  <si>
    <t>Jačanje proračunskog planiranja, izvršavanja i uloge internih kontrola</t>
  </si>
  <si>
    <t>Unaprjeđenje usluga prostornih podataka u Republici Moldovi u skladu s EU standardima</t>
  </si>
  <si>
    <t>Podrška EU u jačanju kapaciteta i usklađivanju s EU zakonodavstvom u veterinarskom sektoru u Bosni i Hercegovini</t>
  </si>
  <si>
    <t>Pomoć u provedbi Sporazuma o stabilizaciji i pridruživanju - EU Direktiva o uslugama 2006/123/EC</t>
  </si>
  <si>
    <t>Podrška Agenciji za lijekove i medicinska sredstva Crne Gore (CINMED)</t>
  </si>
  <si>
    <t>Podrška provedbi moderniziranog pravnog okvira za zaštitu podataka (PERDATA)</t>
  </si>
  <si>
    <t>Podrška Poreznoj i Carinskoj Upravi za nadogradnju TARICG-a</t>
  </si>
  <si>
    <t>Usklađivanje zakonodavstva i provedbe pravne stečevine EU-a u području ribarstva i akvakulture u Republici Sjevernoj Makedoniji (ACQUA)</t>
  </si>
  <si>
    <t>Premije osiguranja</t>
  </si>
  <si>
    <t xml:space="preserve"> IZVRŠENJE 
2023. </t>
  </si>
  <si>
    <t xml:space="preserve"> IZVRŠENJE 
2022. </t>
  </si>
  <si>
    <t xml:space="preserve">OSTVARENJE/ IZVRŠENJE 
2022. </t>
  </si>
  <si>
    <t xml:space="preserve">OSTVARENJE/ IZVRŠENJE 
2023. </t>
  </si>
  <si>
    <t>OSTVARENJE/ IZVRŠENJE 2022.</t>
  </si>
  <si>
    <t xml:space="preserve">OSTVARENJE/ IZVRŠENJE 2023. </t>
  </si>
  <si>
    <t>Napomena:  Iznosi u stupcu "OSTVARENJE/IZVRŠENJE 2022." preračunavaju se iz kuna u eure prema fiksnom tečaju konverzije (1 EUR=7,53450 kuna) i po pravilima za preračunavanje i zaokruživanje.</t>
  </si>
  <si>
    <t>Napomena : Iznosi u stupcima "OSTVARENJE/IZVRŠENJE 2022." i "OSTVARENJE/IZVRŠENJE 2023." iskazuju se na dvije decimale.</t>
  </si>
  <si>
    <t>IZVRŠENJE FINANCIJSKOG PLANA PRORAČUNSKOG KORISNIKA DRŽAVNOG PRORAČUNA
ZA 2023. GODINU</t>
  </si>
  <si>
    <t xml:space="preserve">OSTVARENJE/IZVRŠENJE 
2022. </t>
  </si>
  <si>
    <t xml:space="preserve">OSTVARENJE/IZVRŠENJE 
2023. </t>
  </si>
  <si>
    <t xml:space="preserve">OSTVARENJE/ IZVRŠENJE 2022. </t>
  </si>
  <si>
    <t>** AKO Opći i Posebni dio polugodišnjeg izvještaja ne sadrži "TEKUĆI PLAN 2023.", "INDEKS"("OSTVARENJE/IZVRŠENJE 2023."/"TEKUĆI PLAN 2023.") iskazuje se kao "OSTVARENJE/IZVRŠENJE 2023."/"IZVORNI PLAN 2023."</t>
  </si>
  <si>
    <t xml:space="preserve"> IZVRŠENJE 2023. </t>
  </si>
  <si>
    <t>REBALANS 2023.*</t>
  </si>
  <si>
    <t>TEKUĆI PLAN 2023.</t>
  </si>
  <si>
    <t>5=4/3*100</t>
  </si>
  <si>
    <t>7=5/3*100</t>
  </si>
  <si>
    <t>Europski fond za regionalni razvoj (EFRR)</t>
  </si>
  <si>
    <t>7=5/4*100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</si>
</sst>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[Red]#,##0.0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41">
    <xf numFmtId="0" fontId="0" fillId="0" borderId="0" xfId="0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3" fontId="3" fillId="2" borderId="3" xfId="0" applyNumberFormat="1" applyFont="1" applyFill="1" applyBorder="1" applyAlignment="1">
      <alignment horizontal="right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6" fillId="2" borderId="3" xfId="0" quotePrefix="1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3" xfId="0" applyNumberFormat="1" applyFont="1" applyFill="1" applyBorder="1" applyAlignment="1" applyProtection="1">
      <alignment horizontal="left" vertical="center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8" fillId="2" borderId="3" xfId="0" applyNumberFormat="1" applyFont="1" applyFill="1" applyBorder="1" applyAlignment="1" applyProtection="1">
      <alignment vertical="center" wrapText="1"/>
    </xf>
    <xf numFmtId="0" fontId="6" fillId="2" borderId="3" xfId="0" applyNumberFormat="1" applyFont="1" applyFill="1" applyBorder="1" applyAlignment="1" applyProtection="1">
      <alignment vertical="center" wrapText="1"/>
    </xf>
    <xf numFmtId="0" fontId="7" fillId="2" borderId="3" xfId="0" quotePrefix="1" applyFont="1" applyFill="1" applyBorder="1" applyAlignment="1">
      <alignment horizontal="left" vertical="center" wrapText="1" indent="1"/>
    </xf>
    <xf numFmtId="0" fontId="7" fillId="2" borderId="3" xfId="0" applyFont="1" applyFill="1" applyBorder="1" applyAlignment="1">
      <alignment horizontal="left" vertical="center" indent="1"/>
    </xf>
    <xf numFmtId="0" fontId="7" fillId="2" borderId="3" xfId="0" applyNumberFormat="1" applyFont="1" applyFill="1" applyBorder="1" applyAlignment="1" applyProtection="1">
      <alignment horizontal="left" vertical="center" wrapText="1" indent="1"/>
    </xf>
    <xf numFmtId="0" fontId="6" fillId="2" borderId="3" xfId="0" quotePrefix="1" applyFont="1" applyFill="1" applyBorder="1" applyAlignment="1">
      <alignment horizontal="left" vertical="center" wrapText="1"/>
    </xf>
    <xf numFmtId="0" fontId="0" fillId="0" borderId="3" xfId="0" applyBorder="1"/>
    <xf numFmtId="0" fontId="9" fillId="0" borderId="0" xfId="0" applyFont="1" applyAlignment="1">
      <alignment vertical="top" wrapText="1"/>
    </xf>
    <xf numFmtId="0" fontId="5" fillId="3" borderId="3" xfId="0" applyNumberFormat="1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horizontal="center" vertical="center" wrapText="1"/>
    </xf>
    <xf numFmtId="0" fontId="10" fillId="3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vertical="top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0" fontId="12" fillId="0" borderId="0" xfId="0" applyFont="1"/>
    <xf numFmtId="0" fontId="13" fillId="2" borderId="3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17" fillId="0" borderId="0" xfId="0" applyNumberFormat="1" applyFont="1" applyFill="1" applyBorder="1" applyAlignment="1" applyProtection="1">
      <alignment vertical="center" wrapText="1"/>
    </xf>
    <xf numFmtId="0" fontId="16" fillId="3" borderId="3" xfId="0" applyNumberFormat="1" applyFont="1" applyFill="1" applyBorder="1" applyAlignment="1" applyProtection="1">
      <alignment horizontal="center" vertical="center" wrapText="1"/>
    </xf>
    <xf numFmtId="0" fontId="13" fillId="2" borderId="3" xfId="0" applyNumberFormat="1" applyFont="1" applyFill="1" applyBorder="1" applyAlignment="1" applyProtection="1">
      <alignment horizontal="left" vertical="center" wrapText="1"/>
    </xf>
    <xf numFmtId="0" fontId="18" fillId="2" borderId="3" xfId="0" applyNumberFormat="1" applyFont="1" applyFill="1" applyBorder="1" applyAlignment="1" applyProtection="1">
      <alignment horizontal="left" vertical="center" wrapText="1"/>
    </xf>
    <xf numFmtId="0" fontId="18" fillId="2" borderId="3" xfId="0" quotePrefix="1" applyFont="1" applyFill="1" applyBorder="1" applyAlignment="1">
      <alignment horizontal="left" vertical="center"/>
    </xf>
    <xf numFmtId="0" fontId="13" fillId="2" borderId="3" xfId="0" quotePrefix="1" applyFont="1" applyFill="1" applyBorder="1" applyAlignment="1">
      <alignment horizontal="left" vertical="center"/>
    </xf>
    <xf numFmtId="0" fontId="18" fillId="2" borderId="3" xfId="0" quotePrefix="1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/>
    </xf>
    <xf numFmtId="0" fontId="13" fillId="2" borderId="3" xfId="0" applyNumberFormat="1" applyFont="1" applyFill="1" applyBorder="1" applyAlignment="1" applyProtection="1">
      <alignment horizontal="left" vertical="center"/>
    </xf>
    <xf numFmtId="0" fontId="18" fillId="2" borderId="3" xfId="0" applyNumberFormat="1" applyFont="1" applyFill="1" applyBorder="1" applyAlignment="1" applyProtection="1">
      <alignment vertical="center" wrapText="1"/>
    </xf>
    <xf numFmtId="0" fontId="13" fillId="2" borderId="3" xfId="0" quotePrefix="1" applyFont="1" applyFill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164" fontId="17" fillId="2" borderId="3" xfId="0" applyNumberFormat="1" applyFont="1" applyFill="1" applyBorder="1" applyAlignment="1">
      <alignment horizontal="right" vertical="center" wrapText="1"/>
    </xf>
    <xf numFmtId="164" fontId="12" fillId="2" borderId="3" xfId="0" applyNumberFormat="1" applyFont="1" applyFill="1" applyBorder="1" applyAlignment="1">
      <alignment vertical="center" wrapText="1"/>
    </xf>
    <xf numFmtId="164" fontId="17" fillId="2" borderId="3" xfId="0" applyNumberFormat="1" applyFont="1" applyFill="1" applyBorder="1" applyAlignment="1">
      <alignment horizontal="right" vertical="center"/>
    </xf>
    <xf numFmtId="164" fontId="17" fillId="2" borderId="3" xfId="0" applyNumberFormat="1" applyFont="1" applyFill="1" applyBorder="1" applyAlignment="1" applyProtection="1">
      <alignment horizontal="right" vertical="center" wrapText="1"/>
    </xf>
    <xf numFmtId="164" fontId="19" fillId="2" borderId="3" xfId="0" applyNumberFormat="1" applyFont="1" applyFill="1" applyBorder="1" applyAlignment="1">
      <alignment vertical="center" wrapText="1"/>
    </xf>
    <xf numFmtId="164" fontId="16" fillId="2" borderId="3" xfId="0" applyNumberFormat="1" applyFont="1" applyFill="1" applyBorder="1" applyAlignment="1">
      <alignment horizontal="right" vertical="center" wrapText="1"/>
    </xf>
    <xf numFmtId="164" fontId="16" fillId="2" borderId="3" xfId="0" applyNumberFormat="1" applyFont="1" applyFill="1" applyBorder="1" applyAlignment="1">
      <alignment vertical="center" wrapText="1"/>
    </xf>
    <xf numFmtId="0" fontId="19" fillId="0" borderId="5" xfId="0" applyFont="1" applyBorder="1" applyAlignment="1">
      <alignment horizontal="center" vertical="center"/>
    </xf>
    <xf numFmtId="0" fontId="12" fillId="3" borderId="0" xfId="0" applyFont="1" applyFill="1"/>
    <xf numFmtId="0" fontId="12" fillId="0" borderId="0" xfId="0" applyFont="1" applyAlignment="1">
      <alignment horizontal="left"/>
    </xf>
    <xf numFmtId="0" fontId="12" fillId="3" borderId="0" xfId="0" applyFont="1" applyFill="1" applyAlignment="1">
      <alignment horizontal="left"/>
    </xf>
    <xf numFmtId="0" fontId="12" fillId="0" borderId="0" xfId="0" applyFont="1" applyAlignment="1">
      <alignment horizontal="center" vertical="center" wrapText="1"/>
    </xf>
    <xf numFmtId="0" fontId="16" fillId="0" borderId="0" xfId="0" applyNumberFormat="1" applyFont="1" applyFill="1" applyBorder="1" applyAlignment="1" applyProtection="1">
      <alignment vertical="center" wrapText="1"/>
    </xf>
    <xf numFmtId="0" fontId="12" fillId="0" borderId="0" xfId="0" applyFont="1" applyAlignment="1">
      <alignment wrapText="1"/>
    </xf>
    <xf numFmtId="0" fontId="16" fillId="0" borderId="5" xfId="0" applyNumberFormat="1" applyFont="1" applyFill="1" applyBorder="1" applyAlignment="1" applyProtection="1">
      <alignment horizontal="center" vertical="center" wrapText="1"/>
    </xf>
    <xf numFmtId="0" fontId="20" fillId="0" borderId="5" xfId="0" applyFont="1" applyBorder="1" applyAlignment="1">
      <alignment horizontal="right" vertical="center"/>
    </xf>
    <xf numFmtId="0" fontId="16" fillId="0" borderId="3" xfId="0" quotePrefix="1" applyNumberFormat="1" applyFont="1" applyFill="1" applyBorder="1" applyAlignment="1" applyProtection="1">
      <alignment horizontal="center" vertical="center" wrapText="1"/>
    </xf>
    <xf numFmtId="0" fontId="16" fillId="2" borderId="3" xfId="0" applyNumberFormat="1" applyFont="1" applyFill="1" applyBorder="1" applyAlignment="1" applyProtection="1">
      <alignment horizontal="center" vertical="center" wrapText="1"/>
    </xf>
    <xf numFmtId="0" fontId="13" fillId="3" borderId="1" xfId="0" applyFont="1" applyFill="1" applyBorder="1" applyAlignment="1">
      <alignment horizontal="left" vertical="center"/>
    </xf>
    <xf numFmtId="0" fontId="18" fillId="3" borderId="2" xfId="0" applyNumberFormat="1" applyFont="1" applyFill="1" applyBorder="1" applyAlignment="1" applyProtection="1">
      <alignment vertical="center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17" fillId="0" borderId="0" xfId="0" applyNumberFormat="1" applyFont="1" applyFill="1" applyBorder="1" applyAlignment="1" applyProtection="1"/>
    <xf numFmtId="164" fontId="16" fillId="2" borderId="3" xfId="0" applyNumberFormat="1" applyFont="1" applyFill="1" applyBorder="1" applyAlignment="1">
      <alignment horizontal="right" vertical="center"/>
    </xf>
    <xf numFmtId="164" fontId="12" fillId="2" borderId="3" xfId="0" applyNumberFormat="1" applyFont="1" applyFill="1" applyBorder="1" applyAlignment="1">
      <alignment vertical="center"/>
    </xf>
    <xf numFmtId="164" fontId="8" fillId="2" borderId="3" xfId="0" applyNumberFormat="1" applyFont="1" applyFill="1" applyBorder="1" applyAlignment="1" applyProtection="1">
      <alignment vertical="center" wrapText="1"/>
    </xf>
    <xf numFmtId="164" fontId="6" fillId="2" borderId="3" xfId="0" applyNumberFormat="1" applyFont="1" applyFill="1" applyBorder="1" applyAlignment="1" applyProtection="1">
      <alignment vertical="center" wrapText="1"/>
    </xf>
    <xf numFmtId="0" fontId="15" fillId="0" borderId="0" xfId="0" applyFont="1" applyAlignment="1">
      <alignment vertical="center"/>
    </xf>
    <xf numFmtId="164" fontId="5" fillId="2" borderId="3" xfId="0" applyNumberFormat="1" applyFont="1" applyFill="1" applyBorder="1" applyAlignment="1">
      <alignment horizontal="right" vertical="center"/>
    </xf>
    <xf numFmtId="164" fontId="3" fillId="2" borderId="3" xfId="0" applyNumberFormat="1" applyFont="1" applyFill="1" applyBorder="1" applyAlignment="1">
      <alignment horizontal="right" vertical="center"/>
    </xf>
    <xf numFmtId="164" fontId="15" fillId="2" borderId="3" xfId="0" applyNumberFormat="1" applyFont="1" applyFill="1" applyBorder="1" applyAlignment="1">
      <alignment vertical="center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1" fillId="2" borderId="3" xfId="0" applyFont="1" applyFill="1" applyBorder="1" applyAlignment="1">
      <alignment horizontal="left" vertical="center" wrapText="1"/>
    </xf>
    <xf numFmtId="164" fontId="3" fillId="2" borderId="4" xfId="0" applyNumberFormat="1" applyFont="1" applyFill="1" applyBorder="1" applyAlignment="1">
      <alignment horizontal="right" vertical="center"/>
    </xf>
    <xf numFmtId="164" fontId="6" fillId="2" borderId="3" xfId="0" applyNumberFormat="1" applyFont="1" applyFill="1" applyBorder="1" applyAlignment="1">
      <alignment horizontal="right" vertical="center"/>
    </xf>
    <xf numFmtId="4" fontId="13" fillId="2" borderId="3" xfId="0" applyNumberFormat="1" applyFont="1" applyFill="1" applyBorder="1" applyAlignment="1" applyProtection="1">
      <alignment vertical="center"/>
    </xf>
    <xf numFmtId="4" fontId="13" fillId="3" borderId="3" xfId="0" applyNumberFormat="1" applyFont="1" applyFill="1" applyBorder="1" applyAlignment="1" applyProtection="1">
      <alignment vertical="center"/>
    </xf>
    <xf numFmtId="4" fontId="13" fillId="3" borderId="3" xfId="0" applyNumberFormat="1" applyFont="1" applyFill="1" applyBorder="1" applyAlignment="1" applyProtection="1">
      <alignment vertical="center" wrapText="1"/>
    </xf>
    <xf numFmtId="4" fontId="16" fillId="3" borderId="3" xfId="0" quotePrefix="1" applyNumberFormat="1" applyFont="1" applyFill="1" applyBorder="1" applyAlignment="1">
      <alignment horizontal="right" wrapText="1"/>
    </xf>
    <xf numFmtId="4" fontId="13" fillId="3" borderId="3" xfId="0" applyNumberFormat="1" applyFont="1" applyFill="1" applyBorder="1" applyAlignment="1" applyProtection="1">
      <alignment wrapText="1"/>
    </xf>
    <xf numFmtId="3" fontId="5" fillId="2" borderId="3" xfId="0" applyNumberFormat="1" applyFont="1" applyFill="1" applyBorder="1" applyAlignment="1">
      <alignment horizontal="right"/>
    </xf>
    <xf numFmtId="0" fontId="1" fillId="0" borderId="3" xfId="0" applyFont="1" applyBorder="1"/>
    <xf numFmtId="3" fontId="5" fillId="2" borderId="3" xfId="0" applyNumberFormat="1" applyFont="1" applyFill="1" applyBorder="1" applyAlignment="1">
      <alignment horizontal="right" vertical="center"/>
    </xf>
    <xf numFmtId="3" fontId="3" fillId="2" borderId="3" xfId="0" applyNumberFormat="1" applyFont="1" applyFill="1" applyBorder="1" applyAlignment="1">
      <alignment horizontal="right" vertical="center"/>
    </xf>
    <xf numFmtId="0" fontId="19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164" fontId="15" fillId="0" borderId="0" xfId="0" applyNumberFormat="1" applyFont="1" applyAlignment="1">
      <alignment vertical="center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horizontal="center" vertical="center" wrapText="1"/>
    </xf>
    <xf numFmtId="164" fontId="5" fillId="0" borderId="3" xfId="0" applyNumberFormat="1" applyFont="1" applyFill="1" applyBorder="1" applyAlignment="1">
      <alignment horizontal="right" vertical="center"/>
    </xf>
    <xf numFmtId="164" fontId="3" fillId="0" borderId="3" xfId="0" applyNumberFormat="1" applyFont="1" applyFill="1" applyBorder="1" applyAlignment="1">
      <alignment horizontal="right" vertical="center"/>
    </xf>
    <xf numFmtId="164" fontId="3" fillId="0" borderId="3" xfId="0" applyNumberFormat="1" applyFont="1" applyFill="1" applyBorder="1" applyAlignment="1" applyProtection="1">
      <alignment horizontal="right" vertical="center" wrapText="1"/>
    </xf>
    <xf numFmtId="164" fontId="8" fillId="0" borderId="3" xfId="0" applyNumberFormat="1" applyFont="1" applyFill="1" applyBorder="1" applyAlignment="1" applyProtection="1">
      <alignment vertical="center" wrapText="1"/>
    </xf>
    <xf numFmtId="164" fontId="12" fillId="0" borderId="0" xfId="0" applyNumberFormat="1" applyFont="1" applyAlignment="1">
      <alignment vertical="center"/>
    </xf>
    <xf numFmtId="0" fontId="5" fillId="4" borderId="1" xfId="0" applyNumberFormat="1" applyFont="1" applyFill="1" applyBorder="1" applyAlignment="1" applyProtection="1">
      <alignment horizontal="left" vertical="center" wrapText="1"/>
    </xf>
    <xf numFmtId="0" fontId="21" fillId="4" borderId="3" xfId="0" applyFont="1" applyFill="1" applyBorder="1" applyAlignment="1">
      <alignment horizontal="left" vertical="center" wrapText="1"/>
    </xf>
    <xf numFmtId="164" fontId="5" fillId="4" borderId="4" xfId="0" applyNumberFormat="1" applyFont="1" applyFill="1" applyBorder="1" applyAlignment="1">
      <alignment horizontal="right" vertical="center"/>
    </xf>
    <xf numFmtId="164" fontId="5" fillId="4" borderId="3" xfId="0" applyNumberFormat="1" applyFont="1" applyFill="1" applyBorder="1" applyAlignment="1">
      <alignment horizontal="right" vertical="center"/>
    </xf>
    <xf numFmtId="0" fontId="8" fillId="4" borderId="3" xfId="0" quotePrefix="1" applyFont="1" applyFill="1" applyBorder="1" applyAlignment="1">
      <alignment horizontal="left" vertical="center" wrapText="1"/>
    </xf>
    <xf numFmtId="164" fontId="8" fillId="4" borderId="4" xfId="0" applyNumberFormat="1" applyFont="1" applyFill="1" applyBorder="1" applyAlignment="1">
      <alignment horizontal="right" vertical="center"/>
    </xf>
    <xf numFmtId="49" fontId="5" fillId="4" borderId="1" xfId="0" applyNumberFormat="1" applyFont="1" applyFill="1" applyBorder="1" applyAlignment="1" applyProtection="1">
      <alignment horizontal="left" vertical="center" wrapText="1"/>
    </xf>
    <xf numFmtId="0" fontId="5" fillId="4" borderId="3" xfId="0" applyNumberFormat="1" applyFont="1" applyFill="1" applyBorder="1" applyAlignment="1" applyProtection="1">
      <alignment horizontal="left" vertical="center" wrapText="1"/>
    </xf>
    <xf numFmtId="0" fontId="17" fillId="3" borderId="3" xfId="0" applyNumberFormat="1" applyFont="1" applyFill="1" applyBorder="1" applyAlignment="1" applyProtection="1">
      <alignment horizontal="center" vertical="center" wrapText="1"/>
    </xf>
    <xf numFmtId="0" fontId="3" fillId="3" borderId="3" xfId="0" applyNumberFormat="1" applyFont="1" applyFill="1" applyBorder="1" applyAlignment="1" applyProtection="1">
      <alignment horizontal="center" vertical="center" wrapText="1"/>
    </xf>
    <xf numFmtId="0" fontId="10" fillId="3" borderId="3" xfId="0" applyNumberFormat="1" applyFont="1" applyFill="1" applyBorder="1" applyAlignment="1" applyProtection="1">
      <alignment horizontal="center" vertical="center" wrapText="1"/>
    </xf>
    <xf numFmtId="4" fontId="13" fillId="2" borderId="3" xfId="0" applyNumberFormat="1" applyFont="1" applyFill="1" applyBorder="1" applyAlignment="1" applyProtection="1">
      <alignment vertical="center" wrapText="1"/>
    </xf>
    <xf numFmtId="4" fontId="13" fillId="2" borderId="3" xfId="0" applyNumberFormat="1" applyFont="1" applyFill="1" applyBorder="1" applyAlignment="1" applyProtection="1">
      <alignment horizontal="right" vertical="center" wrapText="1"/>
    </xf>
    <xf numFmtId="4" fontId="16" fillId="2" borderId="3" xfId="0" applyNumberFormat="1" applyFont="1" applyFill="1" applyBorder="1" applyAlignment="1">
      <alignment horizontal="right"/>
    </xf>
    <xf numFmtId="0" fontId="16" fillId="3" borderId="1" xfId="0" quotePrefix="1" applyFont="1" applyFill="1" applyBorder="1" applyAlignment="1">
      <alignment horizontal="left" wrapText="1"/>
    </xf>
    <xf numFmtId="0" fontId="16" fillId="3" borderId="2" xfId="0" quotePrefix="1" applyFont="1" applyFill="1" applyBorder="1" applyAlignment="1">
      <alignment horizontal="left" wrapText="1"/>
    </xf>
    <xf numFmtId="0" fontId="16" fillId="3" borderId="4" xfId="0" quotePrefix="1" applyFont="1" applyFill="1" applyBorder="1" applyAlignment="1">
      <alignment horizontal="left" wrapText="1"/>
    </xf>
    <xf numFmtId="0" fontId="13" fillId="0" borderId="0" xfId="0" applyNumberFormat="1" applyFont="1" applyFill="1" applyBorder="1" applyAlignment="1" applyProtection="1">
      <alignment horizontal="left" vertical="center" wrapText="1"/>
    </xf>
    <xf numFmtId="0" fontId="13" fillId="2" borderId="1" xfId="0" applyNumberFormat="1" applyFont="1" applyFill="1" applyBorder="1" applyAlignment="1" applyProtection="1">
      <alignment horizontal="left" vertical="center" wrapText="1"/>
    </xf>
    <xf numFmtId="0" fontId="18" fillId="2" borderId="2" xfId="0" applyNumberFormat="1" applyFont="1" applyFill="1" applyBorder="1" applyAlignment="1" applyProtection="1">
      <alignment vertical="center" wrapText="1"/>
    </xf>
    <xf numFmtId="0" fontId="16" fillId="0" borderId="3" xfId="0" quotePrefix="1" applyFont="1" applyBorder="1" applyAlignment="1">
      <alignment horizontal="center" vertical="center" wrapText="1"/>
    </xf>
    <xf numFmtId="0" fontId="16" fillId="0" borderId="1" xfId="0" quotePrefix="1" applyFont="1" applyBorder="1" applyAlignment="1">
      <alignment horizontal="center" vertical="center" wrapText="1"/>
    </xf>
    <xf numFmtId="0" fontId="16" fillId="0" borderId="2" xfId="0" quotePrefix="1" applyFont="1" applyBorder="1" applyAlignment="1">
      <alignment horizontal="center" vertical="center" wrapText="1"/>
    </xf>
    <xf numFmtId="0" fontId="13" fillId="2" borderId="2" xfId="0" applyNumberFormat="1" applyFont="1" applyFill="1" applyBorder="1" applyAlignment="1" applyProtection="1">
      <alignment horizontal="left" vertical="center" wrapText="1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0" fontId="13" fillId="3" borderId="1" xfId="0" applyNumberFormat="1" applyFont="1" applyFill="1" applyBorder="1" applyAlignment="1" applyProtection="1">
      <alignment horizontal="left" vertical="center" wrapText="1"/>
    </xf>
    <xf numFmtId="0" fontId="18" fillId="3" borderId="2" xfId="0" applyNumberFormat="1" applyFont="1" applyFill="1" applyBorder="1" applyAlignment="1" applyProtection="1">
      <alignment vertical="center" wrapText="1"/>
    </xf>
    <xf numFmtId="0" fontId="18" fillId="3" borderId="2" xfId="0" applyNumberFormat="1" applyFont="1" applyFill="1" applyBorder="1" applyAlignment="1" applyProtection="1">
      <alignment vertical="center"/>
    </xf>
    <xf numFmtId="0" fontId="18" fillId="2" borderId="2" xfId="0" applyNumberFormat="1" applyFont="1" applyFill="1" applyBorder="1" applyAlignment="1" applyProtection="1">
      <alignment vertical="center"/>
    </xf>
    <xf numFmtId="0" fontId="16" fillId="0" borderId="3" xfId="0" quotePrefix="1" applyFont="1" applyBorder="1" applyAlignment="1">
      <alignment horizontal="center" wrapText="1"/>
    </xf>
    <xf numFmtId="0" fontId="16" fillId="0" borderId="1" xfId="0" quotePrefix="1" applyFont="1" applyBorder="1" applyAlignment="1">
      <alignment horizontal="center" wrapText="1"/>
    </xf>
    <xf numFmtId="0" fontId="16" fillId="3" borderId="3" xfId="0" quotePrefix="1" applyFont="1" applyFill="1" applyBorder="1" applyAlignment="1">
      <alignment horizontal="left" vertical="center" wrapText="1"/>
    </xf>
    <xf numFmtId="0" fontId="13" fillId="2" borderId="1" xfId="0" quotePrefix="1" applyFont="1" applyFill="1" applyBorder="1" applyAlignment="1">
      <alignment horizontal="left" vertical="center"/>
    </xf>
    <xf numFmtId="0" fontId="13" fillId="3" borderId="1" xfId="0" quotePrefix="1" applyNumberFormat="1" applyFont="1" applyFill="1" applyBorder="1" applyAlignment="1" applyProtection="1">
      <alignment horizontal="left" vertical="center" wrapText="1"/>
    </xf>
    <xf numFmtId="0" fontId="13" fillId="2" borderId="1" xfId="0" quotePrefix="1" applyNumberFormat="1" applyFont="1" applyFill="1" applyBorder="1" applyAlignment="1" applyProtection="1">
      <alignment horizontal="left" vertical="center" wrapText="1"/>
    </xf>
    <xf numFmtId="0" fontId="16" fillId="3" borderId="1" xfId="0" applyNumberFormat="1" applyFont="1" applyFill="1" applyBorder="1" applyAlignment="1" applyProtection="1">
      <alignment horizontal="center" vertical="center" wrapText="1"/>
    </xf>
    <xf numFmtId="0" fontId="16" fillId="3" borderId="2" xfId="0" applyNumberFormat="1" applyFont="1" applyFill="1" applyBorder="1" applyAlignment="1" applyProtection="1">
      <alignment horizontal="center" vertical="center" wrapText="1"/>
    </xf>
    <xf numFmtId="0" fontId="16" fillId="3" borderId="4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5" fillId="3" borderId="1" xfId="0" applyNumberFormat="1" applyFont="1" applyFill="1" applyBorder="1" applyAlignment="1" applyProtection="1">
      <alignment horizontal="center" vertical="center" wrapText="1"/>
    </xf>
    <xf numFmtId="0" fontId="5" fillId="3" borderId="2" xfId="0" applyNumberFormat="1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horizontal="center" vertical="center"/>
    </xf>
  </cellXfs>
  <cellStyles count="2">
    <cellStyle name="Normal" xfId="0" builtinId="0"/>
    <cellStyle name="Obično_List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32"/>
  <sheetViews>
    <sheetView topLeftCell="A19" zoomScaleNormal="100" workbookViewId="0">
      <selection activeCell="B7" sqref="B7:F7"/>
    </sheetView>
  </sheetViews>
  <sheetFormatPr defaultColWidth="9.109375" defaultRowHeight="13.8" x14ac:dyDescent="0.25"/>
  <cols>
    <col min="1" max="5" width="9.109375" style="25"/>
    <col min="6" max="6" width="25.33203125" style="25" customWidth="1"/>
    <col min="7" max="7" width="30.5546875" style="25" customWidth="1"/>
    <col min="8" max="8" width="25.33203125" style="25" customWidth="1"/>
    <col min="9" max="9" width="29.88671875" style="25" customWidth="1"/>
    <col min="10" max="10" width="27.88671875" style="25" customWidth="1"/>
    <col min="11" max="11" width="15.6640625" style="25" customWidth="1"/>
    <col min="12" max="12" width="25.33203125" style="25" customWidth="1"/>
    <col min="13" max="16384" width="9.109375" style="25"/>
  </cols>
  <sheetData>
    <row r="1" spans="2:13" ht="42" customHeight="1" x14ac:dyDescent="0.25">
      <c r="B1" s="119" t="s">
        <v>157</v>
      </c>
      <c r="C1" s="119"/>
      <c r="D1" s="119"/>
      <c r="E1" s="119"/>
      <c r="F1" s="119"/>
      <c r="G1" s="119"/>
      <c r="H1" s="119"/>
      <c r="I1" s="119"/>
      <c r="J1" s="119"/>
      <c r="K1" s="119"/>
      <c r="L1" s="53"/>
    </row>
    <row r="2" spans="2:13" ht="18" customHeight="1" x14ac:dyDescent="0.25"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2:13" ht="15.75" customHeight="1" x14ac:dyDescent="0.25">
      <c r="B3" s="119" t="s">
        <v>14</v>
      </c>
      <c r="C3" s="119"/>
      <c r="D3" s="119"/>
      <c r="E3" s="119"/>
      <c r="F3" s="119"/>
      <c r="G3" s="119"/>
      <c r="H3" s="119"/>
      <c r="I3" s="119"/>
      <c r="J3" s="119"/>
      <c r="K3" s="119"/>
      <c r="L3" s="29"/>
    </row>
    <row r="4" spans="2:13" x14ac:dyDescent="0.25">
      <c r="B4" s="28"/>
      <c r="C4" s="28"/>
      <c r="D4" s="28"/>
      <c r="E4" s="28"/>
      <c r="F4" s="28"/>
      <c r="G4" s="28"/>
      <c r="H4" s="28"/>
      <c r="I4" s="28"/>
      <c r="J4" s="28"/>
      <c r="K4" s="28"/>
      <c r="L4" s="29"/>
    </row>
    <row r="5" spans="2:13" ht="18" customHeight="1" x14ac:dyDescent="0.25">
      <c r="B5" s="119" t="s">
        <v>57</v>
      </c>
      <c r="C5" s="119"/>
      <c r="D5" s="119"/>
      <c r="E5" s="119"/>
      <c r="F5" s="119"/>
      <c r="G5" s="119"/>
      <c r="H5" s="119"/>
      <c r="I5" s="119"/>
      <c r="J5" s="119"/>
      <c r="K5" s="119"/>
      <c r="L5" s="54"/>
    </row>
    <row r="6" spans="2:13" ht="18" customHeight="1" x14ac:dyDescent="0.25">
      <c r="B6" s="28"/>
      <c r="C6" s="28"/>
      <c r="D6" s="28"/>
      <c r="E6" s="28"/>
      <c r="F6" s="28"/>
      <c r="G6" s="28"/>
      <c r="H6" s="28"/>
      <c r="I6" s="28"/>
      <c r="J6" s="28"/>
      <c r="K6" s="28"/>
      <c r="L6" s="54"/>
    </row>
    <row r="7" spans="2:13" ht="18" customHeight="1" x14ac:dyDescent="0.25">
      <c r="B7" s="112" t="s">
        <v>66</v>
      </c>
      <c r="C7" s="112"/>
      <c r="D7" s="112"/>
      <c r="E7" s="112"/>
      <c r="F7" s="112"/>
      <c r="G7" s="55"/>
      <c r="H7" s="48"/>
      <c r="I7" s="48"/>
      <c r="J7" s="56"/>
      <c r="K7" s="56"/>
    </row>
    <row r="8" spans="2:13" ht="27.6" x14ac:dyDescent="0.25">
      <c r="B8" s="115" t="s">
        <v>8</v>
      </c>
      <c r="C8" s="115"/>
      <c r="D8" s="115"/>
      <c r="E8" s="115"/>
      <c r="F8" s="115"/>
      <c r="G8" s="57" t="s">
        <v>158</v>
      </c>
      <c r="H8" s="57" t="s">
        <v>163</v>
      </c>
      <c r="I8" s="57" t="s">
        <v>164</v>
      </c>
      <c r="J8" s="57" t="s">
        <v>159</v>
      </c>
      <c r="K8" s="57" t="s">
        <v>27</v>
      </c>
      <c r="L8" s="57" t="s">
        <v>55</v>
      </c>
    </row>
    <row r="9" spans="2:13" x14ac:dyDescent="0.25">
      <c r="B9" s="126">
        <v>1</v>
      </c>
      <c r="C9" s="126"/>
      <c r="D9" s="126"/>
      <c r="E9" s="126"/>
      <c r="F9" s="127"/>
      <c r="G9" s="57">
        <v>2</v>
      </c>
      <c r="H9" s="58">
        <v>3</v>
      </c>
      <c r="I9" s="58">
        <v>4</v>
      </c>
      <c r="J9" s="58">
        <v>5</v>
      </c>
      <c r="K9" s="58" t="s">
        <v>39</v>
      </c>
      <c r="L9" s="58" t="s">
        <v>168</v>
      </c>
    </row>
    <row r="10" spans="2:13" x14ac:dyDescent="0.25">
      <c r="B10" s="113" t="s">
        <v>28</v>
      </c>
      <c r="C10" s="114"/>
      <c r="D10" s="114"/>
      <c r="E10" s="114"/>
      <c r="F10" s="125"/>
      <c r="G10" s="76">
        <f>' Račun prihoda i rashoda'!G10</f>
        <v>11822843.27</v>
      </c>
      <c r="H10" s="76">
        <f>' Račun prihoda i rashoda'!H10</f>
        <v>15027063</v>
      </c>
      <c r="I10" s="76">
        <f>' Račun prihoda i rashoda'!I10</f>
        <v>15027063</v>
      </c>
      <c r="J10" s="76">
        <f>' Račun prihoda i rashoda'!J10</f>
        <v>14079530.41</v>
      </c>
      <c r="K10" s="76">
        <f t="shared" ref="K10:K15" si="0">J10/G10*100</f>
        <v>119.08751633142474</v>
      </c>
      <c r="L10" s="76">
        <f>J10/I10*100</f>
        <v>93.69449246336427</v>
      </c>
    </row>
    <row r="11" spans="2:13" x14ac:dyDescent="0.25">
      <c r="B11" s="122" t="s">
        <v>0</v>
      </c>
      <c r="C11" s="123"/>
      <c r="D11" s="123"/>
      <c r="E11" s="123"/>
      <c r="F11" s="124"/>
      <c r="G11" s="77">
        <f>G10</f>
        <v>11822843.27</v>
      </c>
      <c r="H11" s="77">
        <f t="shared" ref="H11:J11" si="1">H10</f>
        <v>15027063</v>
      </c>
      <c r="I11" s="77">
        <f t="shared" si="1"/>
        <v>15027063</v>
      </c>
      <c r="J11" s="77">
        <f t="shared" si="1"/>
        <v>14079530.41</v>
      </c>
      <c r="K11" s="77">
        <f t="shared" si="0"/>
        <v>119.08751633142474</v>
      </c>
      <c r="L11" s="77">
        <f>J11/I11*100</f>
        <v>93.69449246336427</v>
      </c>
    </row>
    <row r="12" spans="2:13" x14ac:dyDescent="0.25">
      <c r="B12" s="131" t="s">
        <v>29</v>
      </c>
      <c r="C12" s="114"/>
      <c r="D12" s="114"/>
      <c r="E12" s="114"/>
      <c r="F12" s="114"/>
      <c r="G12" s="106">
        <f>' Račun prihoda i rashoda'!G29</f>
        <v>11579198.210000001</v>
      </c>
      <c r="H12" s="106">
        <f>' Račun prihoda i rashoda'!H29</f>
        <v>14870500</v>
      </c>
      <c r="I12" s="106">
        <f>' Račun prihoda i rashoda'!I29</f>
        <v>14628500</v>
      </c>
      <c r="J12" s="106">
        <f>' Račun prihoda i rashoda'!J29</f>
        <v>14155923.029999999</v>
      </c>
      <c r="K12" s="76">
        <f t="shared" si="0"/>
        <v>122.25305045538208</v>
      </c>
      <c r="L12" s="76">
        <f>J12/I12*100</f>
        <v>96.769477595105428</v>
      </c>
    </row>
    <row r="13" spans="2:13" x14ac:dyDescent="0.25">
      <c r="B13" s="129" t="s">
        <v>30</v>
      </c>
      <c r="C13" s="125"/>
      <c r="D13" s="125"/>
      <c r="E13" s="125"/>
      <c r="F13" s="125"/>
      <c r="G13" s="76">
        <f>' Račun prihoda i rashoda'!G74</f>
        <v>467488.83999999997</v>
      </c>
      <c r="H13" s="76">
        <f>' Račun prihoda i rashoda'!H74</f>
        <v>429500</v>
      </c>
      <c r="I13" s="76">
        <f>' Račun prihoda i rashoda'!I74</f>
        <v>412500</v>
      </c>
      <c r="J13" s="76">
        <f>' Račun prihoda i rashoda'!J74</f>
        <v>364647.2</v>
      </c>
      <c r="K13" s="76">
        <f t="shared" si="0"/>
        <v>78.001263088975577</v>
      </c>
      <c r="L13" s="76">
        <f>J13/I13*100</f>
        <v>88.399321212121222</v>
      </c>
    </row>
    <row r="14" spans="2:13" x14ac:dyDescent="0.25">
      <c r="B14" s="59" t="s">
        <v>1</v>
      </c>
      <c r="C14" s="60"/>
      <c r="D14" s="60"/>
      <c r="E14" s="60"/>
      <c r="F14" s="60"/>
      <c r="G14" s="77">
        <f>G12+G13</f>
        <v>12046687.050000001</v>
      </c>
      <c r="H14" s="77">
        <f t="shared" ref="H14:J14" si="2">H12+H13</f>
        <v>15300000</v>
      </c>
      <c r="I14" s="77">
        <f t="shared" si="2"/>
        <v>15041000</v>
      </c>
      <c r="J14" s="77">
        <f t="shared" si="2"/>
        <v>14520570.229999999</v>
      </c>
      <c r="K14" s="77">
        <f t="shared" si="0"/>
        <v>120.5357968521312</v>
      </c>
      <c r="L14" s="77">
        <f>J14/I14*100</f>
        <v>96.539925736320711</v>
      </c>
    </row>
    <row r="15" spans="2:13" x14ac:dyDescent="0.25">
      <c r="B15" s="130" t="s">
        <v>2</v>
      </c>
      <c r="C15" s="123"/>
      <c r="D15" s="123"/>
      <c r="E15" s="123"/>
      <c r="F15" s="123"/>
      <c r="G15" s="78">
        <f>G11-G14</f>
        <v>-223843.78000000119</v>
      </c>
      <c r="H15" s="78">
        <f t="shared" ref="H15:J15" si="3">H11-H14</f>
        <v>-272937</v>
      </c>
      <c r="I15" s="78">
        <f t="shared" si="3"/>
        <v>-13937</v>
      </c>
      <c r="J15" s="78">
        <f t="shared" si="3"/>
        <v>-441039.81999999844</v>
      </c>
      <c r="K15" s="77">
        <f t="shared" si="0"/>
        <v>197.03018774968689</v>
      </c>
      <c r="L15" s="77">
        <f>IFERROR(J15/I15*100,)</f>
        <v>3164.524790126989</v>
      </c>
    </row>
    <row r="16" spans="2:13" x14ac:dyDescent="0.25">
      <c r="B16" s="28"/>
      <c r="C16" s="61"/>
      <c r="D16" s="61"/>
      <c r="E16" s="61"/>
      <c r="F16" s="61"/>
      <c r="G16" s="61"/>
      <c r="H16" s="61"/>
      <c r="I16" s="61"/>
      <c r="J16" s="61"/>
      <c r="K16" s="62"/>
      <c r="L16" s="62"/>
      <c r="M16" s="62"/>
    </row>
    <row r="17" spans="1:49" ht="18" customHeight="1" x14ac:dyDescent="0.25">
      <c r="B17" s="112" t="s">
        <v>63</v>
      </c>
      <c r="C17" s="112"/>
      <c r="D17" s="112"/>
      <c r="E17" s="112"/>
      <c r="F17" s="112"/>
      <c r="G17" s="61"/>
      <c r="H17" s="61"/>
      <c r="I17" s="61"/>
      <c r="J17" s="61"/>
      <c r="K17" s="62"/>
      <c r="L17" s="62"/>
      <c r="M17" s="62"/>
    </row>
    <row r="18" spans="1:49" ht="27.6" x14ac:dyDescent="0.25">
      <c r="B18" s="115" t="s">
        <v>8</v>
      </c>
      <c r="C18" s="115"/>
      <c r="D18" s="115"/>
      <c r="E18" s="115"/>
      <c r="F18" s="115"/>
      <c r="G18" s="57" t="s">
        <v>158</v>
      </c>
      <c r="H18" s="57" t="s">
        <v>163</v>
      </c>
      <c r="I18" s="57" t="s">
        <v>164</v>
      </c>
      <c r="J18" s="57" t="s">
        <v>159</v>
      </c>
      <c r="K18" s="57" t="s">
        <v>27</v>
      </c>
      <c r="L18" s="57" t="s">
        <v>55</v>
      </c>
    </row>
    <row r="19" spans="1:49" x14ac:dyDescent="0.25">
      <c r="B19" s="116">
        <v>1</v>
      </c>
      <c r="C19" s="117"/>
      <c r="D19" s="117"/>
      <c r="E19" s="117"/>
      <c r="F19" s="117"/>
      <c r="G19" s="57">
        <v>2</v>
      </c>
      <c r="H19" s="58">
        <v>3</v>
      </c>
      <c r="I19" s="58">
        <v>4</v>
      </c>
      <c r="J19" s="58">
        <v>5</v>
      </c>
      <c r="K19" s="58" t="s">
        <v>39</v>
      </c>
      <c r="L19" s="58" t="s">
        <v>168</v>
      </c>
    </row>
    <row r="20" spans="1:49" ht="15.75" customHeight="1" x14ac:dyDescent="0.25">
      <c r="B20" s="113" t="s">
        <v>31</v>
      </c>
      <c r="C20" s="118"/>
      <c r="D20" s="118"/>
      <c r="E20" s="118"/>
      <c r="F20" s="118"/>
      <c r="G20" s="107">
        <v>0</v>
      </c>
      <c r="H20" s="107">
        <v>0</v>
      </c>
      <c r="I20" s="107">
        <v>0</v>
      </c>
      <c r="J20" s="107">
        <v>0</v>
      </c>
      <c r="K20" s="76">
        <f>IFERROR(J20/G20*100,0)</f>
        <v>0</v>
      </c>
      <c r="L20" s="76">
        <f>IFERROR(J20/I20*100,0)</f>
        <v>0</v>
      </c>
    </row>
    <row r="21" spans="1:49" x14ac:dyDescent="0.25">
      <c r="B21" s="113" t="s">
        <v>32</v>
      </c>
      <c r="C21" s="114"/>
      <c r="D21" s="114"/>
      <c r="E21" s="114"/>
      <c r="F21" s="114"/>
      <c r="G21" s="107">
        <v>0</v>
      </c>
      <c r="H21" s="107">
        <v>0</v>
      </c>
      <c r="I21" s="107">
        <v>0</v>
      </c>
      <c r="J21" s="107">
        <v>0</v>
      </c>
      <c r="K21" s="76">
        <f>IFERROR(J21/G21*100,0)</f>
        <v>0</v>
      </c>
      <c r="L21" s="76">
        <f>IFERROR(J21/I21*100,0)</f>
        <v>0</v>
      </c>
    </row>
    <row r="22" spans="1:49" ht="15" customHeight="1" x14ac:dyDescent="0.25">
      <c r="B22" s="109" t="s">
        <v>56</v>
      </c>
      <c r="C22" s="110"/>
      <c r="D22" s="110"/>
      <c r="E22" s="110"/>
      <c r="F22" s="111"/>
      <c r="G22" s="79">
        <f>G20-G21</f>
        <v>0</v>
      </c>
      <c r="H22" s="79">
        <f t="shared" ref="H22:J22" si="4">H20-H21</f>
        <v>0</v>
      </c>
      <c r="I22" s="79">
        <v>0</v>
      </c>
      <c r="J22" s="79">
        <f t="shared" si="4"/>
        <v>0</v>
      </c>
      <c r="K22" s="77">
        <f>IFERROR(J22/G22*100,0)</f>
        <v>0</v>
      </c>
      <c r="L22" s="77">
        <f>IFERROR(J22/I22*100,0)</f>
        <v>0</v>
      </c>
    </row>
    <row r="23" spans="1:49" s="49" customFormat="1" ht="15" customHeight="1" x14ac:dyDescent="0.25">
      <c r="A23" s="25"/>
      <c r="B23" s="113" t="s">
        <v>19</v>
      </c>
      <c r="C23" s="114"/>
      <c r="D23" s="114"/>
      <c r="E23" s="114"/>
      <c r="F23" s="114"/>
      <c r="G23" s="106">
        <v>1953331.13</v>
      </c>
      <c r="H23" s="108">
        <v>2018824</v>
      </c>
      <c r="I23" s="108">
        <v>2018824</v>
      </c>
      <c r="J23" s="108">
        <v>1507160.85</v>
      </c>
      <c r="K23" s="76">
        <f>J23/G23*100</f>
        <v>77.158492323828369</v>
      </c>
      <c r="L23" s="76">
        <f>J23/I23*100</f>
        <v>74.655386006903029</v>
      </c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</row>
    <row r="24" spans="1:49" s="49" customFormat="1" ht="15" customHeight="1" x14ac:dyDescent="0.25">
      <c r="A24" s="25"/>
      <c r="B24" s="113" t="s">
        <v>62</v>
      </c>
      <c r="C24" s="114"/>
      <c r="D24" s="114"/>
      <c r="E24" s="114"/>
      <c r="F24" s="114"/>
      <c r="G24" s="106">
        <v>-1729487.35</v>
      </c>
      <c r="H24" s="108">
        <v>-1745887</v>
      </c>
      <c r="I24" s="108">
        <v>-2004887</v>
      </c>
      <c r="J24" s="108">
        <v>-1066121.03</v>
      </c>
      <c r="K24" s="76">
        <f>J24/G24*100</f>
        <v>61.643759926893935</v>
      </c>
      <c r="L24" s="76">
        <f>J24/I24*100</f>
        <v>53.176115661381417</v>
      </c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</row>
    <row r="25" spans="1:49" s="51" customFormat="1" x14ac:dyDescent="0.25">
      <c r="A25" s="50"/>
      <c r="B25" s="109" t="s">
        <v>64</v>
      </c>
      <c r="C25" s="110"/>
      <c r="D25" s="110"/>
      <c r="E25" s="110"/>
      <c r="F25" s="111"/>
      <c r="G25" s="79">
        <f>SUM(G23:G24)</f>
        <v>223843.7799999998</v>
      </c>
      <c r="H25" s="79">
        <f t="shared" ref="H25:J25" si="5">SUM(H23:H24)</f>
        <v>272937</v>
      </c>
      <c r="I25" s="79">
        <f t="shared" si="5"/>
        <v>13937</v>
      </c>
      <c r="J25" s="79">
        <f t="shared" si="5"/>
        <v>441039.82000000007</v>
      </c>
      <c r="K25" s="77">
        <f>J25/G25*100</f>
        <v>197.03018774968885</v>
      </c>
      <c r="L25" s="77">
        <f>J25/I25*100</f>
        <v>3164.5247901270004</v>
      </c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</row>
    <row r="26" spans="1:49" x14ac:dyDescent="0.25">
      <c r="B26" s="128" t="s">
        <v>65</v>
      </c>
      <c r="C26" s="128"/>
      <c r="D26" s="128"/>
      <c r="E26" s="128"/>
      <c r="F26" s="128"/>
      <c r="G26" s="80">
        <f>G15+G25</f>
        <v>-1.3969838619232178E-9</v>
      </c>
      <c r="H26" s="80">
        <f t="shared" ref="H26:J26" si="6">H15+H25</f>
        <v>0</v>
      </c>
      <c r="I26" s="80">
        <f t="shared" si="6"/>
        <v>0</v>
      </c>
      <c r="J26" s="80">
        <f t="shared" si="6"/>
        <v>1.6298145055770874E-9</v>
      </c>
      <c r="K26" s="77">
        <v>0</v>
      </c>
      <c r="L26" s="77"/>
    </row>
    <row r="28" spans="1:49" x14ac:dyDescent="0.25">
      <c r="B28" s="52"/>
      <c r="C28" s="52"/>
      <c r="D28" s="52"/>
      <c r="E28" s="52"/>
      <c r="F28" s="52"/>
      <c r="G28" s="52"/>
      <c r="H28" s="52"/>
      <c r="I28" s="52"/>
      <c r="J28" s="52"/>
      <c r="K28" s="52"/>
    </row>
    <row r="29" spans="1:49" ht="30.75" customHeight="1" x14ac:dyDescent="0.25">
      <c r="B29" s="120" t="s">
        <v>155</v>
      </c>
      <c r="C29" s="120"/>
      <c r="D29" s="120"/>
      <c r="E29" s="120"/>
      <c r="F29" s="120"/>
      <c r="G29" s="120"/>
      <c r="H29" s="120"/>
      <c r="I29" s="120"/>
      <c r="J29" s="120"/>
      <c r="K29" s="120"/>
    </row>
    <row r="30" spans="1:49" ht="17.25" customHeight="1" x14ac:dyDescent="0.25">
      <c r="B30" s="120" t="s">
        <v>156</v>
      </c>
      <c r="C30" s="120"/>
      <c r="D30" s="120"/>
      <c r="E30" s="120"/>
      <c r="F30" s="120"/>
      <c r="G30" s="120"/>
      <c r="H30" s="120"/>
      <c r="I30" s="120"/>
      <c r="J30" s="120"/>
      <c r="K30" s="120"/>
    </row>
    <row r="31" spans="1:49" ht="61.5" customHeight="1" x14ac:dyDescent="0.25">
      <c r="B31" s="120" t="s">
        <v>60</v>
      </c>
      <c r="C31" s="120"/>
      <c r="D31" s="120"/>
      <c r="E31" s="120"/>
      <c r="F31" s="120"/>
      <c r="G31" s="120"/>
      <c r="H31" s="120"/>
      <c r="I31" s="120"/>
      <c r="J31" s="120"/>
      <c r="K31" s="120"/>
    </row>
    <row r="32" spans="1:49" ht="33.75" customHeight="1" x14ac:dyDescent="0.25">
      <c r="B32" s="121" t="s">
        <v>161</v>
      </c>
      <c r="C32" s="121"/>
      <c r="D32" s="121"/>
      <c r="E32" s="121"/>
      <c r="F32" s="121"/>
      <c r="G32" s="121"/>
      <c r="H32" s="121"/>
      <c r="I32" s="121"/>
      <c r="J32" s="121"/>
      <c r="K32" s="121"/>
    </row>
  </sheetData>
  <mergeCells count="25">
    <mergeCell ref="B5:K5"/>
    <mergeCell ref="B3:K3"/>
    <mergeCell ref="B1:K1"/>
    <mergeCell ref="B31:K31"/>
    <mergeCell ref="B32:K32"/>
    <mergeCell ref="B11:F11"/>
    <mergeCell ref="B21:F21"/>
    <mergeCell ref="B10:F10"/>
    <mergeCell ref="B8:F8"/>
    <mergeCell ref="B9:F9"/>
    <mergeCell ref="B26:F26"/>
    <mergeCell ref="B13:F13"/>
    <mergeCell ref="B15:F15"/>
    <mergeCell ref="B12:F12"/>
    <mergeCell ref="B29:K29"/>
    <mergeCell ref="B30:K30"/>
    <mergeCell ref="B25:F25"/>
    <mergeCell ref="B22:F22"/>
    <mergeCell ref="B7:F7"/>
    <mergeCell ref="B17:F17"/>
    <mergeCell ref="B23:F23"/>
    <mergeCell ref="B24:F24"/>
    <mergeCell ref="B18:F18"/>
    <mergeCell ref="B19:F19"/>
    <mergeCell ref="B20:F20"/>
  </mergeCells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83"/>
  <sheetViews>
    <sheetView topLeftCell="A7" zoomScale="90" zoomScaleNormal="90" workbookViewId="0">
      <selection activeCell="H11" sqref="H11"/>
    </sheetView>
  </sheetViews>
  <sheetFormatPr defaultColWidth="9.109375" defaultRowHeight="13.8" x14ac:dyDescent="0.3"/>
  <cols>
    <col min="1" max="1" width="9.109375" style="40"/>
    <col min="2" max="2" width="7.44140625" style="40" bestFit="1" customWidth="1"/>
    <col min="3" max="3" width="8.44140625" style="40" bestFit="1" customWidth="1"/>
    <col min="4" max="4" width="11.44140625" style="40" customWidth="1"/>
    <col min="5" max="5" width="8.44140625" style="40" customWidth="1"/>
    <col min="6" max="6" width="44.6640625" style="40" customWidth="1"/>
    <col min="7" max="10" width="25.33203125" style="40" customWidth="1"/>
    <col min="11" max="11" width="15.6640625" style="40" customWidth="1"/>
    <col min="12" max="12" width="25.5546875" style="40" bestFit="1" customWidth="1"/>
    <col min="13" max="16384" width="9.109375" style="40"/>
  </cols>
  <sheetData>
    <row r="1" spans="2:12" x14ac:dyDescent="0.3">
      <c r="B1" s="28"/>
      <c r="C1" s="28"/>
      <c r="D1" s="28"/>
      <c r="E1" s="28"/>
      <c r="F1" s="28"/>
      <c r="G1" s="28"/>
      <c r="H1" s="28"/>
      <c r="I1" s="88"/>
      <c r="J1" s="28"/>
      <c r="K1" s="28"/>
      <c r="L1" s="28"/>
    </row>
    <row r="2" spans="2:12" x14ac:dyDescent="0.3">
      <c r="B2" s="119" t="s">
        <v>14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2:12" x14ac:dyDescent="0.3">
      <c r="B3" s="28"/>
      <c r="C3" s="28"/>
      <c r="D3" s="28"/>
      <c r="E3" s="28"/>
      <c r="F3" s="28"/>
      <c r="G3" s="28"/>
      <c r="H3" s="28"/>
      <c r="I3" s="88"/>
      <c r="J3" s="29"/>
      <c r="K3" s="29"/>
      <c r="L3" s="29"/>
    </row>
    <row r="4" spans="2:12" x14ac:dyDescent="0.3">
      <c r="B4" s="119" t="s">
        <v>59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</row>
    <row r="5" spans="2:12" x14ac:dyDescent="0.3">
      <c r="B5" s="28"/>
      <c r="C5" s="28"/>
      <c r="D5" s="28"/>
      <c r="E5" s="28"/>
      <c r="F5" s="28"/>
      <c r="G5" s="28"/>
      <c r="H5" s="28"/>
      <c r="I5" s="88"/>
      <c r="J5" s="29"/>
      <c r="K5" s="29"/>
      <c r="L5" s="29"/>
    </row>
    <row r="6" spans="2:12" x14ac:dyDescent="0.3">
      <c r="B6" s="119" t="s">
        <v>40</v>
      </c>
      <c r="C6" s="119"/>
      <c r="D6" s="119"/>
      <c r="E6" s="119"/>
      <c r="F6" s="119"/>
      <c r="G6" s="119"/>
      <c r="H6" s="119"/>
      <c r="I6" s="119"/>
      <c r="J6" s="119"/>
      <c r="K6" s="119"/>
      <c r="L6" s="119"/>
    </row>
    <row r="7" spans="2:12" x14ac:dyDescent="0.3">
      <c r="B7" s="28"/>
      <c r="C7" s="28"/>
      <c r="D7" s="28"/>
      <c r="E7" s="28"/>
      <c r="F7" s="28"/>
      <c r="G7" s="28"/>
      <c r="H7" s="28"/>
      <c r="I7" s="88"/>
      <c r="J7" s="29"/>
      <c r="K7" s="29"/>
      <c r="L7" s="29"/>
    </row>
    <row r="8" spans="2:12" ht="27.6" x14ac:dyDescent="0.3">
      <c r="B8" s="132" t="s">
        <v>8</v>
      </c>
      <c r="C8" s="133"/>
      <c r="D8" s="133"/>
      <c r="E8" s="133"/>
      <c r="F8" s="134"/>
      <c r="G8" s="30" t="s">
        <v>160</v>
      </c>
      <c r="H8" s="30" t="s">
        <v>163</v>
      </c>
      <c r="I8" s="30" t="s">
        <v>54</v>
      </c>
      <c r="J8" s="30" t="s">
        <v>154</v>
      </c>
      <c r="K8" s="30" t="s">
        <v>27</v>
      </c>
      <c r="L8" s="30" t="s">
        <v>55</v>
      </c>
    </row>
    <row r="9" spans="2:12" x14ac:dyDescent="0.3">
      <c r="B9" s="132">
        <v>1</v>
      </c>
      <c r="C9" s="133"/>
      <c r="D9" s="133"/>
      <c r="E9" s="133"/>
      <c r="F9" s="134"/>
      <c r="G9" s="30">
        <v>2</v>
      </c>
      <c r="H9" s="30">
        <v>3</v>
      </c>
      <c r="I9" s="30">
        <v>4</v>
      </c>
      <c r="J9" s="30">
        <v>5</v>
      </c>
      <c r="K9" s="30" t="s">
        <v>39</v>
      </c>
      <c r="L9" s="30" t="s">
        <v>168</v>
      </c>
    </row>
    <row r="10" spans="2:12" x14ac:dyDescent="0.3">
      <c r="B10" s="31"/>
      <c r="C10" s="31"/>
      <c r="D10" s="31"/>
      <c r="E10" s="31"/>
      <c r="F10" s="31" t="s">
        <v>53</v>
      </c>
      <c r="G10" s="46">
        <f>G11</f>
        <v>11822843.27</v>
      </c>
      <c r="H10" s="46">
        <f t="shared" ref="H10:J10" si="0">H11</f>
        <v>15027063</v>
      </c>
      <c r="I10" s="46">
        <f>H10</f>
        <v>15027063</v>
      </c>
      <c r="J10" s="46">
        <f t="shared" si="0"/>
        <v>14079530.41</v>
      </c>
      <c r="K10" s="45">
        <f t="shared" ref="K10:K23" si="1">IFERROR(J10/G10*100,0)</f>
        <v>119.08751633142474</v>
      </c>
      <c r="L10" s="45">
        <f>IFERROR(J10/I10*100,0)</f>
        <v>93.69449246336427</v>
      </c>
    </row>
    <row r="11" spans="2:12" x14ac:dyDescent="0.3">
      <c r="B11" s="31">
        <v>6</v>
      </c>
      <c r="C11" s="31"/>
      <c r="D11" s="31"/>
      <c r="E11" s="31"/>
      <c r="F11" s="31" t="s">
        <v>3</v>
      </c>
      <c r="G11" s="47">
        <f>G12+G16+G20</f>
        <v>11822843.27</v>
      </c>
      <c r="H11" s="47">
        <f t="shared" ref="H11:J11" si="2">H12+H16+H20</f>
        <v>15027063</v>
      </c>
      <c r="I11" s="47">
        <f>H11</f>
        <v>15027063</v>
      </c>
      <c r="J11" s="47">
        <f t="shared" si="2"/>
        <v>14079530.41</v>
      </c>
      <c r="K11" s="45">
        <f t="shared" si="1"/>
        <v>119.08751633142474</v>
      </c>
      <c r="L11" s="45">
        <f>IFERROR(J11/I11*100,0)</f>
        <v>93.69449246336427</v>
      </c>
    </row>
    <row r="12" spans="2:12" ht="27.6" x14ac:dyDescent="0.3">
      <c r="B12" s="31"/>
      <c r="C12" s="32">
        <v>63</v>
      </c>
      <c r="D12" s="32"/>
      <c r="E12" s="32"/>
      <c r="F12" s="32" t="s">
        <v>18</v>
      </c>
      <c r="G12" s="41">
        <f>G13</f>
        <v>7095727.0699999994</v>
      </c>
      <c r="H12" s="41">
        <f t="shared" ref="H12:J12" si="3">H13</f>
        <v>8985000</v>
      </c>
      <c r="I12" s="41">
        <f>H12</f>
        <v>8985000</v>
      </c>
      <c r="J12" s="41">
        <f t="shared" si="3"/>
        <v>8543307.7799999993</v>
      </c>
      <c r="K12" s="42">
        <f t="shared" si="1"/>
        <v>120.40073829953553</v>
      </c>
      <c r="L12" s="42">
        <f>IFERROR(J12/I12*100,0)</f>
        <v>95.084115525876456</v>
      </c>
    </row>
    <row r="13" spans="2:12" ht="27.6" x14ac:dyDescent="0.3">
      <c r="B13" s="35"/>
      <c r="C13" s="35"/>
      <c r="D13" s="35">
        <v>632</v>
      </c>
      <c r="E13" s="35"/>
      <c r="F13" s="35" t="s">
        <v>70</v>
      </c>
      <c r="G13" s="41">
        <f>G14+G15</f>
        <v>7095727.0699999994</v>
      </c>
      <c r="H13" s="41">
        <f>'Rashodi prema izvorima finan'!D14</f>
        <v>8985000</v>
      </c>
      <c r="I13" s="41">
        <f>H13</f>
        <v>8985000</v>
      </c>
      <c r="J13" s="41">
        <f t="shared" ref="J13" si="4">J14+J15</f>
        <v>8543307.7799999993</v>
      </c>
      <c r="K13" s="42">
        <f t="shared" si="1"/>
        <v>120.40073829953553</v>
      </c>
      <c r="L13" s="42">
        <f>IFERROR(J13/I13*100,0)</f>
        <v>95.084115525876456</v>
      </c>
    </row>
    <row r="14" spans="2:12" x14ac:dyDescent="0.3">
      <c r="B14" s="35"/>
      <c r="C14" s="35"/>
      <c r="D14" s="35"/>
      <c r="E14" s="35">
        <v>6323</v>
      </c>
      <c r="F14" s="35" t="s">
        <v>71</v>
      </c>
      <c r="G14" s="41">
        <v>6754130.0099999998</v>
      </c>
      <c r="H14" s="41"/>
      <c r="I14" s="41"/>
      <c r="J14" s="42">
        <v>8278949.9100000001</v>
      </c>
      <c r="K14" s="42">
        <f t="shared" si="1"/>
        <v>122.57611117556797</v>
      </c>
      <c r="L14" s="42"/>
    </row>
    <row r="15" spans="2:12" x14ac:dyDescent="0.3">
      <c r="B15" s="35"/>
      <c r="C15" s="35"/>
      <c r="D15" s="35"/>
      <c r="E15" s="35">
        <v>6324</v>
      </c>
      <c r="F15" s="35" t="s">
        <v>72</v>
      </c>
      <c r="G15" s="41">
        <v>341597.06</v>
      </c>
      <c r="H15" s="41"/>
      <c r="I15" s="41"/>
      <c r="J15" s="42">
        <v>264357.87</v>
      </c>
      <c r="K15" s="42">
        <f t="shared" si="1"/>
        <v>77.38880129706034</v>
      </c>
      <c r="L15" s="42"/>
    </row>
    <row r="16" spans="2:12" ht="27.6" x14ac:dyDescent="0.3">
      <c r="B16" s="35"/>
      <c r="C16" s="35">
        <v>66</v>
      </c>
      <c r="D16" s="35"/>
      <c r="E16" s="35"/>
      <c r="F16" s="32" t="s">
        <v>73</v>
      </c>
      <c r="G16" s="41">
        <f>G17</f>
        <v>1121357.4200000002</v>
      </c>
      <c r="H16" s="41">
        <f t="shared" ref="H16:J16" si="5">H17</f>
        <v>441063</v>
      </c>
      <c r="I16" s="41">
        <f t="shared" ref="I16:I17" si="6">H16</f>
        <v>441063</v>
      </c>
      <c r="J16" s="41">
        <f t="shared" si="5"/>
        <v>340512.49</v>
      </c>
      <c r="K16" s="42">
        <f t="shared" si="1"/>
        <v>30.366097724666584</v>
      </c>
      <c r="L16" s="42">
        <f t="shared" ref="L16:L21" si="7">IFERROR(J16/I16*100,0)</f>
        <v>77.202687597916849</v>
      </c>
    </row>
    <row r="17" spans="2:14" ht="27.6" x14ac:dyDescent="0.3">
      <c r="B17" s="35"/>
      <c r="C17" s="39"/>
      <c r="D17" s="35">
        <v>661</v>
      </c>
      <c r="E17" s="35"/>
      <c r="F17" s="32" t="s">
        <v>33</v>
      </c>
      <c r="G17" s="41">
        <f>G18+G19</f>
        <v>1121357.4200000002</v>
      </c>
      <c r="H17" s="41">
        <f>'Rashodi prema izvorima finan'!D12</f>
        <v>441063</v>
      </c>
      <c r="I17" s="41">
        <f t="shared" si="6"/>
        <v>441063</v>
      </c>
      <c r="J17" s="41">
        <f t="shared" ref="J17" si="8">J18+J19</f>
        <v>340512.49</v>
      </c>
      <c r="K17" s="42">
        <f t="shared" si="1"/>
        <v>30.366097724666584</v>
      </c>
      <c r="L17" s="42">
        <f t="shared" si="7"/>
        <v>77.202687597916849</v>
      </c>
    </row>
    <row r="18" spans="2:14" x14ac:dyDescent="0.3">
      <c r="B18" s="35"/>
      <c r="C18" s="39"/>
      <c r="D18" s="35"/>
      <c r="E18" s="35">
        <v>6614</v>
      </c>
      <c r="F18" s="32" t="s">
        <v>34</v>
      </c>
      <c r="G18" s="41">
        <v>9914.58</v>
      </c>
      <c r="H18" s="41"/>
      <c r="I18" s="41"/>
      <c r="J18" s="42">
        <v>12636.92</v>
      </c>
      <c r="K18" s="42">
        <f t="shared" si="1"/>
        <v>127.45794577279119</v>
      </c>
      <c r="L18" s="42"/>
    </row>
    <row r="19" spans="2:14" x14ac:dyDescent="0.3">
      <c r="B19" s="35"/>
      <c r="C19" s="39"/>
      <c r="D19" s="35"/>
      <c r="E19" s="35">
        <v>6615</v>
      </c>
      <c r="F19" s="32" t="s">
        <v>74</v>
      </c>
      <c r="G19" s="41">
        <v>1111442.8400000001</v>
      </c>
      <c r="H19" s="41"/>
      <c r="I19" s="41"/>
      <c r="J19" s="42">
        <v>327875.57</v>
      </c>
      <c r="K19" s="42">
        <f t="shared" si="1"/>
        <v>29.499993899821241</v>
      </c>
      <c r="L19" s="42"/>
    </row>
    <row r="20" spans="2:14" x14ac:dyDescent="0.3">
      <c r="B20" s="35"/>
      <c r="C20" s="35">
        <v>67</v>
      </c>
      <c r="D20" s="35"/>
      <c r="E20" s="35"/>
      <c r="F20" s="32" t="s">
        <v>68</v>
      </c>
      <c r="G20" s="41">
        <f>G21</f>
        <v>3605758.78</v>
      </c>
      <c r="H20" s="41">
        <f t="shared" ref="H20:J20" si="9">H21</f>
        <v>5601000</v>
      </c>
      <c r="I20" s="41">
        <f>I21</f>
        <v>5342000</v>
      </c>
      <c r="J20" s="41">
        <f t="shared" si="9"/>
        <v>5195710.1399999997</v>
      </c>
      <c r="K20" s="42">
        <f t="shared" si="1"/>
        <v>144.09477885262197</v>
      </c>
      <c r="L20" s="42">
        <f t="shared" si="7"/>
        <v>97.261515162860348</v>
      </c>
    </row>
    <row r="21" spans="2:14" x14ac:dyDescent="0.3">
      <c r="B21" s="35"/>
      <c r="C21" s="39"/>
      <c r="D21" s="35">
        <v>671</v>
      </c>
      <c r="E21" s="35"/>
      <c r="F21" s="32" t="s">
        <v>68</v>
      </c>
      <c r="G21" s="41">
        <f>G22+G23</f>
        <v>3605758.78</v>
      </c>
      <c r="H21" s="41">
        <f>'Rashodi prema izvorima finan'!D7</f>
        <v>5601000</v>
      </c>
      <c r="I21" s="41">
        <v>5342000</v>
      </c>
      <c r="J21" s="41">
        <f t="shared" ref="J21" si="10">J22+J23</f>
        <v>5195710.1399999997</v>
      </c>
      <c r="K21" s="42">
        <f t="shared" si="1"/>
        <v>144.09477885262197</v>
      </c>
      <c r="L21" s="42">
        <f t="shared" si="7"/>
        <v>97.261515162860348</v>
      </c>
    </row>
    <row r="22" spans="2:14" ht="27.6" x14ac:dyDescent="0.3">
      <c r="B22" s="35"/>
      <c r="C22" s="39"/>
      <c r="D22" s="35"/>
      <c r="E22" s="35">
        <v>6711</v>
      </c>
      <c r="F22" s="32" t="s">
        <v>69</v>
      </c>
      <c r="G22" s="41">
        <v>3479867.01</v>
      </c>
      <c r="H22" s="41"/>
      <c r="I22" s="41"/>
      <c r="J22" s="42">
        <v>5095420.8099999996</v>
      </c>
      <c r="K22" s="42">
        <f t="shared" si="1"/>
        <v>146.42573395355129</v>
      </c>
      <c r="L22" s="42"/>
    </row>
    <row r="23" spans="2:14" ht="27.6" x14ac:dyDescent="0.3">
      <c r="B23" s="35"/>
      <c r="C23" s="35"/>
      <c r="D23" s="35"/>
      <c r="E23" s="35">
        <v>6712</v>
      </c>
      <c r="F23" s="32" t="s">
        <v>69</v>
      </c>
      <c r="G23" s="41">
        <v>125891.77</v>
      </c>
      <c r="H23" s="41"/>
      <c r="I23" s="41"/>
      <c r="J23" s="42">
        <v>100289.33</v>
      </c>
      <c r="K23" s="42">
        <f t="shared" si="1"/>
        <v>79.663134452712839</v>
      </c>
      <c r="L23" s="42"/>
    </row>
    <row r="25" spans="2:14" x14ac:dyDescent="0.3">
      <c r="B25" s="28"/>
      <c r="C25" s="28"/>
      <c r="D25" s="28"/>
      <c r="E25" s="28"/>
      <c r="F25" s="28"/>
      <c r="G25" s="28"/>
      <c r="H25" s="28"/>
      <c r="I25" s="88"/>
      <c r="J25" s="29"/>
      <c r="K25" s="29"/>
      <c r="L25" s="29"/>
    </row>
    <row r="26" spans="2:14" ht="27.6" x14ac:dyDescent="0.3">
      <c r="B26" s="132" t="s">
        <v>8</v>
      </c>
      <c r="C26" s="133"/>
      <c r="D26" s="133"/>
      <c r="E26" s="133"/>
      <c r="F26" s="134"/>
      <c r="G26" s="30" t="s">
        <v>153</v>
      </c>
      <c r="H26" s="30" t="s">
        <v>163</v>
      </c>
      <c r="I26" s="30" t="s">
        <v>54</v>
      </c>
      <c r="J26" s="30" t="s">
        <v>154</v>
      </c>
      <c r="K26" s="30" t="s">
        <v>27</v>
      </c>
      <c r="L26" s="30" t="s">
        <v>55</v>
      </c>
    </row>
    <row r="27" spans="2:14" x14ac:dyDescent="0.3">
      <c r="B27" s="132">
        <v>1</v>
      </c>
      <c r="C27" s="133"/>
      <c r="D27" s="133"/>
      <c r="E27" s="133"/>
      <c r="F27" s="134"/>
      <c r="G27" s="30">
        <v>2</v>
      </c>
      <c r="H27" s="30">
        <v>3</v>
      </c>
      <c r="I27" s="30">
        <v>4</v>
      </c>
      <c r="J27" s="30">
        <v>5</v>
      </c>
      <c r="K27" s="30" t="s">
        <v>39</v>
      </c>
      <c r="L27" s="30" t="s">
        <v>168</v>
      </c>
    </row>
    <row r="28" spans="2:14" x14ac:dyDescent="0.3">
      <c r="B28" s="31"/>
      <c r="C28" s="31"/>
      <c r="D28" s="31"/>
      <c r="E28" s="31"/>
      <c r="F28" s="31" t="s">
        <v>52</v>
      </c>
      <c r="G28" s="63">
        <f>G29+G74</f>
        <v>12046687.050000001</v>
      </c>
      <c r="H28" s="63">
        <f t="shared" ref="H28:J28" si="11">H29+H74</f>
        <v>15300000</v>
      </c>
      <c r="I28" s="63">
        <v>15041000</v>
      </c>
      <c r="J28" s="63">
        <f t="shared" si="11"/>
        <v>14520570.229999999</v>
      </c>
      <c r="K28" s="45">
        <f t="shared" ref="K28:K63" si="12">IFERROR(J28/G28*100,0)</f>
        <v>120.5357968521312</v>
      </c>
      <c r="L28" s="45">
        <f>IFERROR(J28/I28*100,0)</f>
        <v>96.539925736320711</v>
      </c>
    </row>
    <row r="29" spans="2:14" x14ac:dyDescent="0.3">
      <c r="B29" s="31">
        <v>3</v>
      </c>
      <c r="C29" s="31"/>
      <c r="D29" s="31"/>
      <c r="E29" s="31"/>
      <c r="F29" s="31" t="s">
        <v>4</v>
      </c>
      <c r="G29" s="63">
        <f>G30+G38+G68+G71</f>
        <v>11579198.210000001</v>
      </c>
      <c r="H29" s="63">
        <f t="shared" ref="H29:J29" si="13">H30+H38+H68+H71</f>
        <v>14870500</v>
      </c>
      <c r="I29" s="63">
        <v>14628500</v>
      </c>
      <c r="J29" s="63">
        <f t="shared" si="13"/>
        <v>14155923.029999999</v>
      </c>
      <c r="K29" s="45">
        <f t="shared" si="12"/>
        <v>122.25305045538208</v>
      </c>
      <c r="L29" s="45">
        <f>IFERROR(J29/I29*100,0)</f>
        <v>96.769477595105428</v>
      </c>
    </row>
    <row r="30" spans="2:14" x14ac:dyDescent="0.3">
      <c r="B30" s="31"/>
      <c r="C30" s="32">
        <v>31</v>
      </c>
      <c r="D30" s="32"/>
      <c r="E30" s="32"/>
      <c r="F30" s="32" t="s">
        <v>5</v>
      </c>
      <c r="G30" s="43">
        <f>G31+G34+G36</f>
        <v>8169527.9299999997</v>
      </c>
      <c r="H30" s="43">
        <f>'POSEBNI DIO'!D13+'POSEBNI DIO'!D56+'POSEBNI DIO'!D78+'POSEBNI DIO'!D107</f>
        <v>11017000</v>
      </c>
      <c r="I30" s="43">
        <v>10802000</v>
      </c>
      <c r="J30" s="43">
        <f t="shared" ref="J30" si="14">J31+J34+J36</f>
        <v>10523854.049999999</v>
      </c>
      <c r="K30" s="42">
        <f t="shared" si="12"/>
        <v>128.81838632749492</v>
      </c>
      <c r="L30" s="42">
        <f>IFERROR(J30/I30*100,0)</f>
        <v>97.425051379374182</v>
      </c>
      <c r="N30" s="94"/>
    </row>
    <row r="31" spans="2:14" x14ac:dyDescent="0.3">
      <c r="B31" s="33"/>
      <c r="C31" s="33"/>
      <c r="D31" s="33">
        <v>311</v>
      </c>
      <c r="E31" s="33"/>
      <c r="F31" s="33" t="s">
        <v>35</v>
      </c>
      <c r="G31" s="43">
        <f>G32+G33</f>
        <v>6959631.1600000001</v>
      </c>
      <c r="H31" s="43"/>
      <c r="I31" s="43"/>
      <c r="J31" s="43">
        <f t="shared" ref="J31" si="15">J32+J33</f>
        <v>8914772.8300000001</v>
      </c>
      <c r="K31" s="42">
        <f t="shared" si="12"/>
        <v>128.09260469487293</v>
      </c>
      <c r="L31" s="42"/>
    </row>
    <row r="32" spans="2:14" x14ac:dyDescent="0.3">
      <c r="B32" s="33"/>
      <c r="C32" s="33"/>
      <c r="D32" s="33"/>
      <c r="E32" s="33">
        <v>3111</v>
      </c>
      <c r="F32" s="33" t="s">
        <v>36</v>
      </c>
      <c r="G32" s="43">
        <f>1338426.59+831047.98+22485.11+4709272.06</f>
        <v>6901231.7400000002</v>
      </c>
      <c r="H32" s="43"/>
      <c r="I32" s="43"/>
      <c r="J32" s="64">
        <f>2229914.69+6616867.14+22823.8</f>
        <v>8869605.6300000008</v>
      </c>
      <c r="K32" s="42">
        <f t="shared" si="12"/>
        <v>128.52206626523167</v>
      </c>
      <c r="L32" s="42"/>
    </row>
    <row r="33" spans="2:12" x14ac:dyDescent="0.3">
      <c r="B33" s="33"/>
      <c r="C33" s="33"/>
      <c r="D33" s="33"/>
      <c r="E33" s="33">
        <v>3113</v>
      </c>
      <c r="F33" s="33" t="s">
        <v>75</v>
      </c>
      <c r="G33" s="43">
        <f>6609.94+7768.43+44021.05</f>
        <v>58399.42</v>
      </c>
      <c r="H33" s="43"/>
      <c r="I33" s="43"/>
      <c r="J33" s="64">
        <f>12326.86+4926.05+27914.29</f>
        <v>45167.199999999997</v>
      </c>
      <c r="K33" s="42">
        <f t="shared" si="12"/>
        <v>77.341864011663134</v>
      </c>
      <c r="L33" s="42"/>
    </row>
    <row r="34" spans="2:12" x14ac:dyDescent="0.3">
      <c r="B34" s="33"/>
      <c r="C34" s="33"/>
      <c r="D34" s="33">
        <v>312</v>
      </c>
      <c r="E34" s="33"/>
      <c r="F34" s="33" t="s">
        <v>76</v>
      </c>
      <c r="G34" s="43">
        <f>G35</f>
        <v>243201.71000000002</v>
      </c>
      <c r="H34" s="43"/>
      <c r="I34" s="43"/>
      <c r="J34" s="43">
        <f t="shared" ref="J34" si="16">J35</f>
        <v>340367.86</v>
      </c>
      <c r="K34" s="42">
        <f t="shared" si="12"/>
        <v>139.95290575876294</v>
      </c>
      <c r="L34" s="42"/>
    </row>
    <row r="35" spans="2:12" x14ac:dyDescent="0.3">
      <c r="B35" s="33"/>
      <c r="C35" s="33"/>
      <c r="D35" s="33"/>
      <c r="E35" s="33">
        <v>3121</v>
      </c>
      <c r="F35" s="33" t="s">
        <v>76</v>
      </c>
      <c r="G35" s="43">
        <f>91436.05+431.34+16135.78+135198.54</f>
        <v>243201.71000000002</v>
      </c>
      <c r="H35" s="43"/>
      <c r="I35" s="43"/>
      <c r="J35" s="64">
        <f>140390.75+29996.56+169980.55</f>
        <v>340367.86</v>
      </c>
      <c r="K35" s="42">
        <f t="shared" si="12"/>
        <v>139.95290575876294</v>
      </c>
      <c r="L35" s="42"/>
    </row>
    <row r="36" spans="2:12" x14ac:dyDescent="0.3">
      <c r="B36" s="33"/>
      <c r="C36" s="33"/>
      <c r="D36" s="33">
        <v>313</v>
      </c>
      <c r="E36" s="33"/>
      <c r="F36" s="33" t="s">
        <v>77</v>
      </c>
      <c r="G36" s="43">
        <f>G37</f>
        <v>966695.06</v>
      </c>
      <c r="H36" s="43"/>
      <c r="I36" s="43"/>
      <c r="J36" s="43">
        <f t="shared" ref="J36" si="17">J37</f>
        <v>1268713.3599999999</v>
      </c>
      <c r="K36" s="42">
        <f t="shared" si="12"/>
        <v>131.24235475042147</v>
      </c>
      <c r="L36" s="42"/>
    </row>
    <row r="37" spans="2:12" x14ac:dyDescent="0.3">
      <c r="B37" s="33"/>
      <c r="C37" s="33"/>
      <c r="D37" s="33"/>
      <c r="E37" s="33">
        <v>3132</v>
      </c>
      <c r="F37" s="33" t="s">
        <v>78</v>
      </c>
      <c r="G37" s="43">
        <f>650388.06+3710.05+114774.34+197822.61</f>
        <v>966695.06</v>
      </c>
      <c r="H37" s="43"/>
      <c r="I37" s="43"/>
      <c r="J37" s="64">
        <f>318597.33+141952.51+3765.92+804397.6</f>
        <v>1268713.3599999999</v>
      </c>
      <c r="K37" s="42">
        <f t="shared" si="12"/>
        <v>131.24235475042147</v>
      </c>
      <c r="L37" s="42"/>
    </row>
    <row r="38" spans="2:12" x14ac:dyDescent="0.3">
      <c r="B38" s="33"/>
      <c r="C38" s="33">
        <v>32</v>
      </c>
      <c r="D38" s="33"/>
      <c r="E38" s="33"/>
      <c r="F38" s="33" t="s">
        <v>15</v>
      </c>
      <c r="G38" s="43">
        <f>G39+G43+G49+G59+G61</f>
        <v>3396570.22</v>
      </c>
      <c r="H38" s="43">
        <f>'POSEBNI DIO'!D18+'POSEBNI DIO'!D48+'POSEBNI DIO'!D61+'POSEBNI DIO'!D83+'POSEBNI DIO'!D101+'POSEBNI DIO'!D110+'POSEBNI DIO'!D118+'POSEBNI DIO'!D124+'POSEBNI DIO'!D129+'POSEBNI DIO'!D134+'POSEBNI DIO'!D140+'POSEBNI DIO'!D146</f>
        <v>3810500</v>
      </c>
      <c r="I38" s="43">
        <v>3784500</v>
      </c>
      <c r="J38" s="43">
        <f t="shared" ref="J38" si="18">J39+J43+J49+J59+J61</f>
        <v>3612872.98</v>
      </c>
      <c r="K38" s="42">
        <f t="shared" si="12"/>
        <v>106.36826993083628</v>
      </c>
      <c r="L38" s="42">
        <f>IFERROR(J38/I38*100,0)</f>
        <v>95.465001453296338</v>
      </c>
    </row>
    <row r="39" spans="2:12" x14ac:dyDescent="0.3">
      <c r="B39" s="33"/>
      <c r="C39" s="33"/>
      <c r="D39" s="33">
        <v>321</v>
      </c>
      <c r="E39" s="33"/>
      <c r="F39" s="33" t="s">
        <v>37</v>
      </c>
      <c r="G39" s="43">
        <f>SUM(G40:G42)</f>
        <v>369403.79000000004</v>
      </c>
      <c r="H39" s="43"/>
      <c r="I39" s="43"/>
      <c r="J39" s="43">
        <f t="shared" ref="J39" si="19">SUM(J40:J42)</f>
        <v>495305.14999999997</v>
      </c>
      <c r="K39" s="42">
        <f t="shared" si="12"/>
        <v>134.08231409861818</v>
      </c>
      <c r="L39" s="42"/>
    </row>
    <row r="40" spans="2:12" x14ac:dyDescent="0.3">
      <c r="B40" s="33"/>
      <c r="C40" s="34"/>
      <c r="D40" s="33"/>
      <c r="E40" s="33">
        <v>3211</v>
      </c>
      <c r="F40" s="35" t="s">
        <v>38</v>
      </c>
      <c r="G40" s="43">
        <f>59334.07+512.33+1197.65+1291.83+1507.84+1695.63+602.93+44336.61+654+7737.1+10470.74+17473.32</f>
        <v>146814.05000000002</v>
      </c>
      <c r="H40" s="43"/>
      <c r="I40" s="43"/>
      <c r="J40" s="64">
        <f>13637.02+20045.06+1815.05+41951.49+1038.86+675.44+113595.68</f>
        <v>192758.59999999998</v>
      </c>
      <c r="K40" s="42">
        <f t="shared" si="12"/>
        <v>131.2943822474756</v>
      </c>
      <c r="L40" s="42"/>
    </row>
    <row r="41" spans="2:12" ht="27.6" x14ac:dyDescent="0.3">
      <c r="B41" s="33"/>
      <c r="C41" s="34"/>
      <c r="D41" s="33"/>
      <c r="E41" s="33">
        <v>3212</v>
      </c>
      <c r="F41" s="35" t="s">
        <v>79</v>
      </c>
      <c r="G41" s="43">
        <f>125772.18+22195.1+17469.36</f>
        <v>165436.64000000001</v>
      </c>
      <c r="H41" s="43"/>
      <c r="I41" s="43"/>
      <c r="J41" s="64">
        <f>149551.52+26391.44+23571.59</f>
        <v>199514.55</v>
      </c>
      <c r="K41" s="42">
        <f t="shared" si="12"/>
        <v>120.59876820515696</v>
      </c>
      <c r="L41" s="42"/>
    </row>
    <row r="42" spans="2:12" x14ac:dyDescent="0.3">
      <c r="B42" s="33"/>
      <c r="C42" s="34"/>
      <c r="D42" s="33"/>
      <c r="E42" s="33">
        <v>3213</v>
      </c>
      <c r="F42" s="35" t="s">
        <v>80</v>
      </c>
      <c r="G42" s="43">
        <f>41613.33+7343.54+8196.23</f>
        <v>57153.100000000006</v>
      </c>
      <c r="H42" s="43"/>
      <c r="I42" s="43"/>
      <c r="J42" s="64">
        <f>8444.43+14188.13+80399.44</f>
        <v>103032</v>
      </c>
      <c r="K42" s="42">
        <f t="shared" si="12"/>
        <v>180.27368594179492</v>
      </c>
      <c r="L42" s="42"/>
    </row>
    <row r="43" spans="2:12" x14ac:dyDescent="0.3">
      <c r="B43" s="33"/>
      <c r="C43" s="34"/>
      <c r="D43" s="33">
        <v>322</v>
      </c>
      <c r="E43" s="33"/>
      <c r="F43" s="35" t="s">
        <v>81</v>
      </c>
      <c r="G43" s="43">
        <f>SUM(G44:G48)</f>
        <v>135548.57999999999</v>
      </c>
      <c r="H43" s="43"/>
      <c r="I43" s="43"/>
      <c r="J43" s="43">
        <f t="shared" ref="J43" si="20">SUM(J44:J48)</f>
        <v>184463.61</v>
      </c>
      <c r="K43" s="42">
        <f t="shared" si="12"/>
        <v>136.08671518358952</v>
      </c>
      <c r="L43" s="42"/>
    </row>
    <row r="44" spans="2:12" x14ac:dyDescent="0.3">
      <c r="B44" s="33"/>
      <c r="C44" s="34"/>
      <c r="D44" s="33"/>
      <c r="E44" s="33">
        <v>3221</v>
      </c>
      <c r="F44" s="35" t="s">
        <v>82</v>
      </c>
      <c r="G44" s="43">
        <f>23631.23+4170.23+32101.93</f>
        <v>59903.39</v>
      </c>
      <c r="H44" s="43"/>
      <c r="I44" s="43"/>
      <c r="J44" s="64">
        <f>36431.07+6428.98+28444.56</f>
        <v>71304.61</v>
      </c>
      <c r="K44" s="42">
        <f t="shared" si="12"/>
        <v>119.03267911882784</v>
      </c>
      <c r="L44" s="42"/>
    </row>
    <row r="45" spans="2:12" x14ac:dyDescent="0.3">
      <c r="B45" s="33"/>
      <c r="C45" s="34"/>
      <c r="D45" s="33"/>
      <c r="E45" s="33">
        <v>3222</v>
      </c>
      <c r="F45" s="35" t="s">
        <v>83</v>
      </c>
      <c r="G45" s="43">
        <v>9745.0499999999993</v>
      </c>
      <c r="H45" s="43"/>
      <c r="I45" s="43"/>
      <c r="J45" s="64">
        <v>12438.33</v>
      </c>
      <c r="K45" s="42">
        <f t="shared" si="12"/>
        <v>127.63741591885112</v>
      </c>
      <c r="L45" s="42"/>
    </row>
    <row r="46" spans="2:12" x14ac:dyDescent="0.3">
      <c r="B46" s="33"/>
      <c r="C46" s="34"/>
      <c r="D46" s="33"/>
      <c r="E46" s="33">
        <v>3223</v>
      </c>
      <c r="F46" s="35" t="s">
        <v>84</v>
      </c>
      <c r="G46" s="43">
        <f>9309.08+7875.89+44630.25</f>
        <v>61815.22</v>
      </c>
      <c r="H46" s="43"/>
      <c r="I46" s="43"/>
      <c r="J46" s="64">
        <f>17948.16+11876.55+67300.39</f>
        <v>97125.1</v>
      </c>
      <c r="K46" s="42">
        <f t="shared" si="12"/>
        <v>157.12166032896107</v>
      </c>
      <c r="L46" s="42"/>
    </row>
    <row r="47" spans="2:12" x14ac:dyDescent="0.3">
      <c r="B47" s="33"/>
      <c r="C47" s="34"/>
      <c r="D47" s="33"/>
      <c r="E47" s="33">
        <v>3225</v>
      </c>
      <c r="F47" s="35" t="s">
        <v>85</v>
      </c>
      <c r="G47" s="43">
        <v>1996.71</v>
      </c>
      <c r="H47" s="43"/>
      <c r="I47" s="43"/>
      <c r="J47" s="64">
        <v>2141.27</v>
      </c>
      <c r="K47" s="42">
        <f t="shared" si="12"/>
        <v>107.23990965137651</v>
      </c>
      <c r="L47" s="42"/>
    </row>
    <row r="48" spans="2:12" x14ac:dyDescent="0.3">
      <c r="B48" s="33"/>
      <c r="C48" s="34"/>
      <c r="D48" s="33"/>
      <c r="E48" s="33">
        <v>3227</v>
      </c>
      <c r="F48" s="35" t="s">
        <v>86</v>
      </c>
      <c r="G48" s="43">
        <v>2088.21</v>
      </c>
      <c r="H48" s="43"/>
      <c r="I48" s="43"/>
      <c r="J48" s="64">
        <v>1454.3</v>
      </c>
      <c r="K48" s="42">
        <f t="shared" si="12"/>
        <v>69.643378778954229</v>
      </c>
      <c r="L48" s="42"/>
    </row>
    <row r="49" spans="2:12" x14ac:dyDescent="0.3">
      <c r="B49" s="33"/>
      <c r="C49" s="34"/>
      <c r="D49" s="33">
        <v>323</v>
      </c>
      <c r="E49" s="33"/>
      <c r="F49" s="35" t="s">
        <v>87</v>
      </c>
      <c r="G49" s="43">
        <f>SUM(G50:G58)</f>
        <v>2510653.0300000003</v>
      </c>
      <c r="H49" s="43"/>
      <c r="I49" s="43"/>
      <c r="J49" s="43">
        <f t="shared" ref="J49" si="21">SUM(J50:J58)</f>
        <v>2660094.4900000002</v>
      </c>
      <c r="K49" s="42">
        <f t="shared" si="12"/>
        <v>105.95229441162563</v>
      </c>
      <c r="L49" s="42"/>
    </row>
    <row r="50" spans="2:12" x14ac:dyDescent="0.3">
      <c r="B50" s="33"/>
      <c r="C50" s="34"/>
      <c r="D50" s="33"/>
      <c r="E50" s="33">
        <v>3231</v>
      </c>
      <c r="F50" s="35" t="s">
        <v>88</v>
      </c>
      <c r="G50" s="43">
        <f>20245.78+6413.01+36340.43</f>
        <v>62999.22</v>
      </c>
      <c r="H50" s="43"/>
      <c r="I50" s="43"/>
      <c r="J50" s="64">
        <f>24185.96+5914.38+33515.1</f>
        <v>63615.44</v>
      </c>
      <c r="K50" s="42">
        <f t="shared" si="12"/>
        <v>100.97813909442053</v>
      </c>
      <c r="L50" s="42"/>
    </row>
    <row r="51" spans="2:12" x14ac:dyDescent="0.3">
      <c r="B51" s="33"/>
      <c r="C51" s="34"/>
      <c r="D51" s="33"/>
      <c r="E51" s="33">
        <v>3232</v>
      </c>
      <c r="F51" s="35" t="s">
        <v>89</v>
      </c>
      <c r="G51" s="43">
        <v>10315.65</v>
      </c>
      <c r="H51" s="43"/>
      <c r="I51" s="43"/>
      <c r="J51" s="64">
        <v>70253.2</v>
      </c>
      <c r="K51" s="42">
        <f t="shared" si="12"/>
        <v>681.03512624022721</v>
      </c>
      <c r="L51" s="42"/>
    </row>
    <row r="52" spans="2:12" x14ac:dyDescent="0.3">
      <c r="B52" s="33"/>
      <c r="C52" s="34"/>
      <c r="D52" s="33"/>
      <c r="E52" s="33">
        <v>3233</v>
      </c>
      <c r="F52" s="35" t="s">
        <v>90</v>
      </c>
      <c r="G52" s="43">
        <f>30195.12+4168.16+1088.37+15688.96+319.02+17726.65+22264.62+5328.54+32703.83</f>
        <v>129483.26999999999</v>
      </c>
      <c r="H52" s="43"/>
      <c r="I52" s="43"/>
      <c r="J52" s="64">
        <f>107108.44+28480.04+49818.75+6381+4500+161386.97</f>
        <v>357675.2</v>
      </c>
      <c r="K52" s="42">
        <f t="shared" si="12"/>
        <v>276.23275192231398</v>
      </c>
      <c r="L52" s="42"/>
    </row>
    <row r="53" spans="2:12" x14ac:dyDescent="0.3">
      <c r="B53" s="33"/>
      <c r="C53" s="34"/>
      <c r="D53" s="33"/>
      <c r="E53" s="33">
        <v>3234</v>
      </c>
      <c r="F53" s="35" t="s">
        <v>91</v>
      </c>
      <c r="G53" s="43">
        <f>69521.04+34045.94+192926.93</f>
        <v>296493.90999999997</v>
      </c>
      <c r="H53" s="43"/>
      <c r="I53" s="43"/>
      <c r="J53" s="64">
        <f>83369.24+37838.82+214419.8</f>
        <v>335627.86</v>
      </c>
      <c r="K53" s="42">
        <f t="shared" si="12"/>
        <v>113.1989051646963</v>
      </c>
      <c r="L53" s="42"/>
    </row>
    <row r="54" spans="2:12" x14ac:dyDescent="0.3">
      <c r="B54" s="33"/>
      <c r="C54" s="34"/>
      <c r="D54" s="33"/>
      <c r="E54" s="33">
        <v>3235</v>
      </c>
      <c r="F54" s="35" t="s">
        <v>92</v>
      </c>
      <c r="G54" s="43">
        <f>219088.49+110069.05+178.52+623726.87</f>
        <v>953062.92999999993</v>
      </c>
      <c r="H54" s="43"/>
      <c r="I54" s="43"/>
      <c r="J54" s="64">
        <f>268153.98+128202.22+4750+697850.34</f>
        <v>1098956.54</v>
      </c>
      <c r="K54" s="42">
        <f t="shared" si="12"/>
        <v>115.30786744585693</v>
      </c>
      <c r="L54" s="42"/>
    </row>
    <row r="55" spans="2:12" x14ac:dyDescent="0.3">
      <c r="B55" s="33"/>
      <c r="C55" s="34"/>
      <c r="D55" s="33"/>
      <c r="E55" s="33">
        <v>3236</v>
      </c>
      <c r="F55" s="35" t="s">
        <v>93</v>
      </c>
      <c r="G55" s="43">
        <f>12822.11+5069.23</f>
        <v>17891.34</v>
      </c>
      <c r="H55" s="43"/>
      <c r="I55" s="43"/>
      <c r="J55" s="64">
        <v>27430.01</v>
      </c>
      <c r="K55" s="42">
        <f t="shared" si="12"/>
        <v>153.31445269051954</v>
      </c>
      <c r="L55" s="42"/>
    </row>
    <row r="56" spans="2:12" x14ac:dyDescent="0.3">
      <c r="B56" s="33"/>
      <c r="C56" s="34"/>
      <c r="D56" s="33"/>
      <c r="E56" s="33">
        <v>3237</v>
      </c>
      <c r="F56" s="35" t="s">
        <v>94</v>
      </c>
      <c r="G56" s="43">
        <f>41498.38+5151.12+4322.88+158367.55+155149.25+50081.27+112316.88+77962.73+108426.69+85500.75+80309.23+29189.63</f>
        <v>908276.36</v>
      </c>
      <c r="H56" s="43"/>
      <c r="I56" s="43"/>
      <c r="J56" s="64">
        <f>108432.6+7233.36+137929.78+176584.27+39434.13+1791.76+1791.76+1343.81+32851.25+40988.81-560</f>
        <v>547821.53</v>
      </c>
      <c r="K56" s="42">
        <f t="shared" si="12"/>
        <v>60.314410252844198</v>
      </c>
      <c r="L56" s="42"/>
    </row>
    <row r="57" spans="2:12" x14ac:dyDescent="0.3">
      <c r="B57" s="33"/>
      <c r="C57" s="34"/>
      <c r="D57" s="33"/>
      <c r="E57" s="33">
        <v>3238</v>
      </c>
      <c r="F57" s="35" t="s">
        <v>95</v>
      </c>
      <c r="G57" s="43">
        <f>11178.98+1972.78+30911.69</f>
        <v>44063.45</v>
      </c>
      <c r="H57" s="43"/>
      <c r="I57" s="43"/>
      <c r="J57" s="64">
        <f>10694.74+1887.3+31735.71</f>
        <v>44317.75</v>
      </c>
      <c r="K57" s="42">
        <f t="shared" si="12"/>
        <v>100.57712230885237</v>
      </c>
      <c r="L57" s="42"/>
    </row>
    <row r="58" spans="2:12" x14ac:dyDescent="0.3">
      <c r="B58" s="33"/>
      <c r="C58" s="34"/>
      <c r="D58" s="33"/>
      <c r="E58" s="33">
        <v>3239</v>
      </c>
      <c r="F58" s="35" t="s">
        <v>96</v>
      </c>
      <c r="G58" s="43">
        <f>40451.33+7142.35+40473.22</f>
        <v>88066.9</v>
      </c>
      <c r="H58" s="43"/>
      <c r="I58" s="43"/>
      <c r="J58" s="64">
        <f>57893.64+8191.43+46418.14+1893.75</f>
        <v>114396.96</v>
      </c>
      <c r="K58" s="42">
        <f t="shared" si="12"/>
        <v>129.89779360917669</v>
      </c>
      <c r="L58" s="42"/>
    </row>
    <row r="59" spans="2:12" ht="27.6" x14ac:dyDescent="0.3">
      <c r="B59" s="33"/>
      <c r="C59" s="34"/>
      <c r="D59" s="33">
        <v>324</v>
      </c>
      <c r="E59" s="33"/>
      <c r="F59" s="35" t="s">
        <v>97</v>
      </c>
      <c r="G59" s="43">
        <f>G60</f>
        <v>335985.79000000004</v>
      </c>
      <c r="H59" s="43"/>
      <c r="I59" s="43"/>
      <c r="J59" s="43">
        <f t="shared" ref="J59" si="22">J60</f>
        <v>187897.13</v>
      </c>
      <c r="K59" s="42">
        <f t="shared" si="12"/>
        <v>55.924130005617201</v>
      </c>
      <c r="L59" s="42"/>
    </row>
    <row r="60" spans="2:12" ht="27.6" x14ac:dyDescent="0.3">
      <c r="B60" s="33"/>
      <c r="C60" s="34"/>
      <c r="D60" s="33"/>
      <c r="E60" s="33">
        <v>3241</v>
      </c>
      <c r="F60" s="35" t="s">
        <v>97</v>
      </c>
      <c r="G60" s="43">
        <f>5699.3+9235.91+47892.26+1720.06+133166.68+51333.29+31000.26+17294.59+38643.44</f>
        <v>335985.79000000004</v>
      </c>
      <c r="H60" s="43"/>
      <c r="I60" s="43"/>
      <c r="J60" s="64">
        <f>15288.27+22167.8+2737.39+12181.01+47503.95+85662.54+2356.17</f>
        <v>187897.13</v>
      </c>
      <c r="K60" s="42">
        <f t="shared" si="12"/>
        <v>55.924130005617201</v>
      </c>
      <c r="L60" s="42"/>
    </row>
    <row r="61" spans="2:12" x14ac:dyDescent="0.3">
      <c r="B61" s="33"/>
      <c r="C61" s="34"/>
      <c r="D61" s="33">
        <v>329</v>
      </c>
      <c r="E61" s="33"/>
      <c r="F61" s="35" t="s">
        <v>98</v>
      </c>
      <c r="G61" s="43">
        <f>SUM(G62:G67)</f>
        <v>44979.03</v>
      </c>
      <c r="H61" s="43"/>
      <c r="I61" s="43"/>
      <c r="J61" s="43">
        <f t="shared" ref="J61" si="23">SUM(J62:J67)</f>
        <v>85112.6</v>
      </c>
      <c r="K61" s="42">
        <f t="shared" si="12"/>
        <v>189.22729102873052</v>
      </c>
      <c r="L61" s="42"/>
    </row>
    <row r="62" spans="2:12" ht="27.6" x14ac:dyDescent="0.3">
      <c r="B62" s="33"/>
      <c r="C62" s="34"/>
      <c r="D62" s="33"/>
      <c r="E62" s="33">
        <v>3291</v>
      </c>
      <c r="F62" s="35" t="s">
        <v>99</v>
      </c>
      <c r="G62" s="43">
        <v>356.7</v>
      </c>
      <c r="H62" s="43"/>
      <c r="I62" s="43"/>
      <c r="J62" s="64">
        <v>570.71</v>
      </c>
      <c r="K62" s="42">
        <f t="shared" si="12"/>
        <v>159.99719652368941</v>
      </c>
      <c r="L62" s="42"/>
    </row>
    <row r="63" spans="2:12" x14ac:dyDescent="0.3">
      <c r="B63" s="33"/>
      <c r="C63" s="34"/>
      <c r="D63" s="33"/>
      <c r="E63" s="33">
        <v>3292</v>
      </c>
      <c r="F63" s="35" t="s">
        <v>148</v>
      </c>
      <c r="G63" s="43">
        <v>386.1</v>
      </c>
      <c r="H63" s="43"/>
      <c r="I63" s="43"/>
      <c r="J63" s="64">
        <v>375.56</v>
      </c>
      <c r="K63" s="42">
        <f t="shared" si="12"/>
        <v>97.270137270137269</v>
      </c>
      <c r="L63" s="42"/>
    </row>
    <row r="64" spans="2:12" x14ac:dyDescent="0.3">
      <c r="B64" s="33"/>
      <c r="C64" s="34"/>
      <c r="D64" s="33"/>
      <c r="E64" s="33">
        <v>3293</v>
      </c>
      <c r="F64" s="35" t="s">
        <v>100</v>
      </c>
      <c r="G64" s="43">
        <f>9076.09+1085.34+3038.06+4238.96+2697.95+1488.02+1819.37</f>
        <v>23443.79</v>
      </c>
      <c r="H64" s="43"/>
      <c r="I64" s="43"/>
      <c r="J64" s="64">
        <f>6699.73+43.12+43869.3+4158.9+2047.83+244.38</f>
        <v>57063.26</v>
      </c>
      <c r="K64" s="42">
        <f>IFERROR(J64/G64*100,0)</f>
        <v>243.40458603323097</v>
      </c>
      <c r="L64" s="42"/>
    </row>
    <row r="65" spans="2:12" x14ac:dyDescent="0.3">
      <c r="B65" s="33"/>
      <c r="C65" s="34"/>
      <c r="D65" s="33"/>
      <c r="E65" s="33">
        <v>3294</v>
      </c>
      <c r="F65" s="35" t="s">
        <v>101</v>
      </c>
      <c r="G65" s="43">
        <v>72.33</v>
      </c>
      <c r="H65" s="43"/>
      <c r="I65" s="43"/>
      <c r="J65" s="64">
        <v>241.38</v>
      </c>
      <c r="K65" s="42">
        <f>IFERROR(J65/G65*100,0)</f>
        <v>333.72044794690999</v>
      </c>
      <c r="L65" s="42"/>
    </row>
    <row r="66" spans="2:12" x14ac:dyDescent="0.3">
      <c r="B66" s="33"/>
      <c r="C66" s="34"/>
      <c r="D66" s="33"/>
      <c r="E66" s="33">
        <v>3295</v>
      </c>
      <c r="F66" s="35" t="s">
        <v>102</v>
      </c>
      <c r="G66" s="43">
        <v>14093.97</v>
      </c>
      <c r="H66" s="43"/>
      <c r="I66" s="43"/>
      <c r="J66" s="64">
        <v>13036.15</v>
      </c>
      <c r="K66" s="42">
        <f>IFERROR(J66/G66*100,0)</f>
        <v>92.494520706373009</v>
      </c>
      <c r="L66" s="42"/>
    </row>
    <row r="67" spans="2:12" x14ac:dyDescent="0.3">
      <c r="B67" s="33"/>
      <c r="C67" s="34"/>
      <c r="D67" s="33"/>
      <c r="E67" s="33">
        <v>3299</v>
      </c>
      <c r="F67" s="35" t="s">
        <v>98</v>
      </c>
      <c r="G67" s="43">
        <v>6626.14</v>
      </c>
      <c r="H67" s="43"/>
      <c r="I67" s="43"/>
      <c r="J67" s="64">
        <v>13825.54</v>
      </c>
      <c r="K67" s="42">
        <f>IFERROR(J67/G67*100,0)</f>
        <v>208.65149242243598</v>
      </c>
      <c r="L67" s="42"/>
    </row>
    <row r="68" spans="2:12" x14ac:dyDescent="0.3">
      <c r="B68" s="33"/>
      <c r="C68" s="33">
        <v>34</v>
      </c>
      <c r="D68" s="33"/>
      <c r="E68" s="33"/>
      <c r="F68" s="35" t="s">
        <v>103</v>
      </c>
      <c r="G68" s="43">
        <f>G69</f>
        <v>0</v>
      </c>
      <c r="H68" s="43">
        <f>'POSEBNI DIO'!D41</f>
        <v>3000</v>
      </c>
      <c r="I68" s="43">
        <v>2000</v>
      </c>
      <c r="J68" s="43">
        <f t="shared" ref="J68" si="24">J69</f>
        <v>1120.44</v>
      </c>
      <c r="K68" s="42">
        <f>IFERROR(J68/G68*100,0)</f>
        <v>0</v>
      </c>
      <c r="L68" s="42">
        <f>IFERROR(J68/I68*100,0)</f>
        <v>56.022000000000006</v>
      </c>
    </row>
    <row r="69" spans="2:12" x14ac:dyDescent="0.3">
      <c r="B69" s="33"/>
      <c r="C69" s="33"/>
      <c r="D69" s="33">
        <v>343</v>
      </c>
      <c r="E69" s="33"/>
      <c r="F69" s="35" t="s">
        <v>104</v>
      </c>
      <c r="G69" s="43">
        <f>G70</f>
        <v>0</v>
      </c>
      <c r="H69" s="43"/>
      <c r="I69" s="43"/>
      <c r="J69" s="43">
        <f t="shared" ref="J69" si="25">J70</f>
        <v>1120.44</v>
      </c>
      <c r="K69" s="42"/>
      <c r="L69" s="42"/>
    </row>
    <row r="70" spans="2:12" x14ac:dyDescent="0.3">
      <c r="B70" s="33"/>
      <c r="C70" s="33"/>
      <c r="D70" s="33"/>
      <c r="E70" s="33">
        <v>3433</v>
      </c>
      <c r="F70" s="35" t="s">
        <v>105</v>
      </c>
      <c r="G70" s="43">
        <v>0</v>
      </c>
      <c r="H70" s="43"/>
      <c r="I70" s="43"/>
      <c r="J70" s="64">
        <v>1120.44</v>
      </c>
      <c r="K70" s="42">
        <f>IFERROR(J70/G70*100,0)</f>
        <v>0</v>
      </c>
      <c r="L70" s="42"/>
    </row>
    <row r="71" spans="2:12" ht="27.6" x14ac:dyDescent="0.3">
      <c r="B71" s="33"/>
      <c r="C71" s="33">
        <v>37</v>
      </c>
      <c r="D71" s="33"/>
      <c r="E71" s="33"/>
      <c r="F71" s="35" t="s">
        <v>106</v>
      </c>
      <c r="G71" s="43">
        <f>G72</f>
        <v>13100.06</v>
      </c>
      <c r="H71" s="43">
        <f>'POSEBNI DIO'!D42</f>
        <v>40000</v>
      </c>
      <c r="I71" s="43">
        <v>40000</v>
      </c>
      <c r="J71" s="43">
        <f t="shared" ref="J71:J72" si="26">J72</f>
        <v>18075.560000000001</v>
      </c>
      <c r="K71" s="42">
        <f>IFERROR(J71/G71*100,0)</f>
        <v>137.98074207293709</v>
      </c>
      <c r="L71" s="42">
        <f>IFERROR(J71/I71*100,0)</f>
        <v>45.188900000000004</v>
      </c>
    </row>
    <row r="72" spans="2:12" ht="27.6" x14ac:dyDescent="0.3">
      <c r="B72" s="33"/>
      <c r="C72" s="34"/>
      <c r="D72" s="33">
        <v>372</v>
      </c>
      <c r="E72" s="33"/>
      <c r="F72" s="35" t="s">
        <v>107</v>
      </c>
      <c r="G72" s="43">
        <f>G73</f>
        <v>13100.06</v>
      </c>
      <c r="H72" s="43"/>
      <c r="I72" s="43"/>
      <c r="J72" s="43">
        <f t="shared" si="26"/>
        <v>18075.560000000001</v>
      </c>
      <c r="K72" s="42"/>
      <c r="L72" s="42"/>
    </row>
    <row r="73" spans="2:12" x14ac:dyDescent="0.3">
      <c r="B73" s="33"/>
      <c r="C73" s="34"/>
      <c r="D73" s="33"/>
      <c r="E73" s="33">
        <v>3721</v>
      </c>
      <c r="F73" s="35" t="s">
        <v>108</v>
      </c>
      <c r="G73" s="43">
        <v>13100.06</v>
      </c>
      <c r="H73" s="43"/>
      <c r="I73" s="43"/>
      <c r="J73" s="64">
        <v>18075.560000000001</v>
      </c>
      <c r="K73" s="42">
        <f t="shared" ref="K73:K83" si="27">IFERROR(J73/G73*100,0)</f>
        <v>137.98074207293709</v>
      </c>
      <c r="L73" s="42"/>
    </row>
    <row r="74" spans="2:12" x14ac:dyDescent="0.3">
      <c r="B74" s="36">
        <v>4</v>
      </c>
      <c r="C74" s="37"/>
      <c r="D74" s="37"/>
      <c r="E74" s="37"/>
      <c r="F74" s="26" t="s">
        <v>6</v>
      </c>
      <c r="G74" s="63">
        <f>G75+G78</f>
        <v>467488.83999999997</v>
      </c>
      <c r="H74" s="63">
        <f t="shared" ref="H74:J74" si="28">H75+H78</f>
        <v>429500</v>
      </c>
      <c r="I74" s="63">
        <v>412500</v>
      </c>
      <c r="J74" s="63">
        <f t="shared" si="28"/>
        <v>364647.2</v>
      </c>
      <c r="K74" s="45">
        <f t="shared" si="27"/>
        <v>78.001263088975577</v>
      </c>
      <c r="L74" s="45">
        <f>IFERROR(J74/I74*100,0)</f>
        <v>88.399321212121222</v>
      </c>
    </row>
    <row r="75" spans="2:12" ht="27.6" x14ac:dyDescent="0.3">
      <c r="B75" s="32"/>
      <c r="C75" s="32">
        <v>41</v>
      </c>
      <c r="D75" s="32"/>
      <c r="E75" s="32"/>
      <c r="F75" s="38" t="s">
        <v>7</v>
      </c>
      <c r="G75" s="43">
        <f>G76</f>
        <v>69516.539999999994</v>
      </c>
      <c r="H75" s="43">
        <f>'POSEBNI DIO'!D43+'POSEBNI DIO'!D75+'POSEBNI DIO'!D97</f>
        <v>52500</v>
      </c>
      <c r="I75" s="43">
        <v>49500</v>
      </c>
      <c r="J75" s="43">
        <f t="shared" ref="J75" si="29">J76</f>
        <v>7399.8</v>
      </c>
      <c r="K75" s="42">
        <f t="shared" si="27"/>
        <v>10.644660968454415</v>
      </c>
      <c r="L75" s="42">
        <f>IFERROR(J75/I75*100,0)</f>
        <v>14.949090909090909</v>
      </c>
    </row>
    <row r="76" spans="2:12" x14ac:dyDescent="0.3">
      <c r="B76" s="32"/>
      <c r="C76" s="32"/>
      <c r="D76" s="33">
        <v>412</v>
      </c>
      <c r="E76" s="33"/>
      <c r="F76" s="33" t="s">
        <v>109</v>
      </c>
      <c r="G76" s="43">
        <f>G77</f>
        <v>69516.539999999994</v>
      </c>
      <c r="H76" s="43"/>
      <c r="I76" s="43"/>
      <c r="J76" s="43">
        <f t="shared" ref="J76" si="30">J77</f>
        <v>7399.8</v>
      </c>
      <c r="K76" s="42">
        <f t="shared" si="27"/>
        <v>10.644660968454415</v>
      </c>
      <c r="L76" s="42"/>
    </row>
    <row r="77" spans="2:12" x14ac:dyDescent="0.3">
      <c r="B77" s="32"/>
      <c r="C77" s="32"/>
      <c r="D77" s="33"/>
      <c r="E77" s="33">
        <v>4123</v>
      </c>
      <c r="F77" s="33" t="s">
        <v>110</v>
      </c>
      <c r="G77" s="43">
        <f>16584.25+7939.84+44992.45</f>
        <v>69516.539999999994</v>
      </c>
      <c r="H77" s="44"/>
      <c r="I77" s="44"/>
      <c r="J77" s="64">
        <f>1109.97+6289.83</f>
        <v>7399.8</v>
      </c>
      <c r="K77" s="42">
        <f t="shared" si="27"/>
        <v>10.644660968454415</v>
      </c>
      <c r="L77" s="42"/>
    </row>
    <row r="78" spans="2:12" ht="27.6" x14ac:dyDescent="0.3">
      <c r="B78" s="32"/>
      <c r="C78" s="32">
        <v>42</v>
      </c>
      <c r="D78" s="32"/>
      <c r="E78" s="32"/>
      <c r="F78" s="38" t="s">
        <v>111</v>
      </c>
      <c r="G78" s="43">
        <f>G79+G82</f>
        <v>397972.3</v>
      </c>
      <c r="H78" s="43">
        <f>'POSEBNI DIO'!D44+'POSEBNI DIO'!D76+'POSEBNI DIO'!D98</f>
        <v>377000</v>
      </c>
      <c r="I78" s="43">
        <v>363000</v>
      </c>
      <c r="J78" s="43">
        <f t="shared" ref="J78" si="31">J79+J82</f>
        <v>357247.4</v>
      </c>
      <c r="K78" s="42">
        <f t="shared" si="27"/>
        <v>89.766900862195698</v>
      </c>
      <c r="L78" s="42">
        <f>IFERROR(J78/I78*100,0)</f>
        <v>98.415261707988989</v>
      </c>
    </row>
    <row r="79" spans="2:12" x14ac:dyDescent="0.3">
      <c r="B79" s="32"/>
      <c r="C79" s="32"/>
      <c r="D79" s="33">
        <v>422</v>
      </c>
      <c r="E79" s="33"/>
      <c r="F79" s="33" t="s">
        <v>112</v>
      </c>
      <c r="G79" s="43">
        <f>SUM(G80:G81)</f>
        <v>397972.3</v>
      </c>
      <c r="H79" s="43"/>
      <c r="I79" s="43"/>
      <c r="J79" s="43">
        <f t="shared" ref="J79" si="32">SUM(J80:J81)</f>
        <v>357247.4</v>
      </c>
      <c r="K79" s="42">
        <f t="shared" si="27"/>
        <v>89.766900862195698</v>
      </c>
      <c r="L79" s="42"/>
    </row>
    <row r="80" spans="2:12" x14ac:dyDescent="0.3">
      <c r="B80" s="32"/>
      <c r="C80" s="32"/>
      <c r="D80" s="33"/>
      <c r="E80" s="33">
        <v>4221</v>
      </c>
      <c r="F80" s="33" t="s">
        <v>113</v>
      </c>
      <c r="G80" s="43">
        <f>37567.84+44651.92+253027.52</f>
        <v>335247.27999999997</v>
      </c>
      <c r="H80" s="44"/>
      <c r="I80" s="44"/>
      <c r="J80" s="64">
        <f>37335.1+38357.45+217358.96</f>
        <v>293051.51</v>
      </c>
      <c r="K80" s="42">
        <f t="shared" si="27"/>
        <v>87.413538448395485</v>
      </c>
      <c r="L80" s="42"/>
    </row>
    <row r="81" spans="2:12" x14ac:dyDescent="0.3">
      <c r="B81" s="32"/>
      <c r="C81" s="32"/>
      <c r="D81" s="33"/>
      <c r="E81" s="33">
        <v>4222</v>
      </c>
      <c r="F81" s="33" t="s">
        <v>114</v>
      </c>
      <c r="G81" s="43">
        <f>43577.1+7221.65+11926.27</f>
        <v>62725.020000000004</v>
      </c>
      <c r="H81" s="44"/>
      <c r="I81" s="44"/>
      <c r="J81" s="64">
        <f>40709.08+7183.97+16302.84</f>
        <v>64195.89</v>
      </c>
      <c r="K81" s="42">
        <f t="shared" si="27"/>
        <v>102.34494943166219</v>
      </c>
      <c r="L81" s="42"/>
    </row>
    <row r="82" spans="2:12" x14ac:dyDescent="0.3">
      <c r="B82" s="32"/>
      <c r="C82" s="32"/>
      <c r="D82" s="33">
        <v>426</v>
      </c>
      <c r="E82" s="33"/>
      <c r="F82" s="33" t="s">
        <v>115</v>
      </c>
      <c r="G82" s="43">
        <f>G83</f>
        <v>0</v>
      </c>
      <c r="H82" s="43"/>
      <c r="I82" s="43"/>
      <c r="J82" s="43">
        <f t="shared" ref="J82" si="33">J83</f>
        <v>0</v>
      </c>
      <c r="K82" s="42">
        <f t="shared" si="27"/>
        <v>0</v>
      </c>
      <c r="L82" s="42"/>
    </row>
    <row r="83" spans="2:12" x14ac:dyDescent="0.3">
      <c r="B83" s="32"/>
      <c r="C83" s="32"/>
      <c r="D83" s="33"/>
      <c r="E83" s="33">
        <v>4262</v>
      </c>
      <c r="F83" s="33" t="s">
        <v>116</v>
      </c>
      <c r="G83" s="43">
        <v>0</v>
      </c>
      <c r="H83" s="44"/>
      <c r="I83" s="44"/>
      <c r="J83" s="64">
        <v>0</v>
      </c>
      <c r="K83" s="42">
        <f t="shared" si="27"/>
        <v>0</v>
      </c>
      <c r="L83" s="42"/>
    </row>
  </sheetData>
  <mergeCells count="7">
    <mergeCell ref="B2:L2"/>
    <mergeCell ref="B4:L4"/>
    <mergeCell ref="B6:L6"/>
    <mergeCell ref="B27:F27"/>
    <mergeCell ref="B9:F9"/>
    <mergeCell ref="B26:F26"/>
    <mergeCell ref="B8:F8"/>
  </mergeCells>
  <pageMargins left="0.7" right="0.7" top="0.75" bottom="0.75" header="0.3" footer="0.3"/>
  <pageSetup paperSize="9" scale="5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7"/>
  <sheetViews>
    <sheetView tabSelected="1" zoomScaleNormal="100" workbookViewId="0">
      <selection activeCell="B4" sqref="B4"/>
    </sheetView>
  </sheetViews>
  <sheetFormatPr defaultColWidth="9.109375" defaultRowHeight="13.2" x14ac:dyDescent="0.3"/>
  <cols>
    <col min="1" max="1" width="9.109375" style="67"/>
    <col min="2" max="2" width="37.6640625" style="67" customWidth="1"/>
    <col min="3" max="5" width="25.33203125" style="67" customWidth="1"/>
    <col min="6" max="6" width="22.109375" style="67" customWidth="1"/>
    <col min="7" max="7" width="15.6640625" style="67" customWidth="1"/>
    <col min="8" max="8" width="17.6640625" style="67" customWidth="1"/>
    <col min="9" max="16384" width="9.109375" style="67"/>
  </cols>
  <sheetData>
    <row r="1" spans="2:9" x14ac:dyDescent="0.3">
      <c r="B1" s="27"/>
      <c r="C1" s="27"/>
      <c r="D1" s="27"/>
      <c r="E1" s="2"/>
      <c r="F1" s="2"/>
      <c r="G1" s="2"/>
    </row>
    <row r="2" spans="2:9" ht="15.75" customHeight="1" x14ac:dyDescent="0.3">
      <c r="B2" s="135" t="s">
        <v>41</v>
      </c>
      <c r="C2" s="135"/>
      <c r="D2" s="135"/>
      <c r="E2" s="135"/>
      <c r="F2" s="135"/>
      <c r="G2" s="135"/>
    </row>
    <row r="3" spans="2:9" x14ac:dyDescent="0.3">
      <c r="B3" s="27"/>
      <c r="C3" s="27"/>
      <c r="D3" s="27"/>
      <c r="E3" s="2"/>
      <c r="F3" s="2"/>
      <c r="G3" s="2"/>
    </row>
    <row r="4" spans="2:9" ht="39.6" x14ac:dyDescent="0.3">
      <c r="B4" s="19" t="s">
        <v>8</v>
      </c>
      <c r="C4" s="19" t="s">
        <v>151</v>
      </c>
      <c r="D4" s="19" t="s">
        <v>163</v>
      </c>
      <c r="E4" s="19" t="s">
        <v>164</v>
      </c>
      <c r="F4" s="19" t="s">
        <v>152</v>
      </c>
      <c r="G4" s="19" t="s">
        <v>27</v>
      </c>
      <c r="H4" s="19" t="s">
        <v>55</v>
      </c>
    </row>
    <row r="5" spans="2:9" ht="13.8" x14ac:dyDescent="0.3">
      <c r="B5" s="104">
        <v>1</v>
      </c>
      <c r="C5" s="104">
        <v>2</v>
      </c>
      <c r="D5" s="104">
        <v>3</v>
      </c>
      <c r="E5" s="103">
        <v>4</v>
      </c>
      <c r="F5" s="103">
        <v>5</v>
      </c>
      <c r="G5" s="103" t="s">
        <v>39</v>
      </c>
      <c r="H5" s="103" t="s">
        <v>168</v>
      </c>
    </row>
    <row r="6" spans="2:9" x14ac:dyDescent="0.3">
      <c r="B6" s="4" t="s">
        <v>51</v>
      </c>
      <c r="C6" s="65">
        <f>C7+C10+C11+C13</f>
        <v>11822843.27</v>
      </c>
      <c r="D6" s="65">
        <f>D7+D10+D11+D13</f>
        <v>15027063</v>
      </c>
      <c r="E6" s="65">
        <f>E7+E10+E11+E13</f>
        <v>14768063</v>
      </c>
      <c r="F6" s="65">
        <f>F7+F10+F11+F13</f>
        <v>14079530.41</v>
      </c>
      <c r="G6" s="65">
        <f t="shared" ref="G6:G23" si="0">IFERROR(F6/C6*100,0)</f>
        <v>119.08751633142474</v>
      </c>
      <c r="H6" s="65">
        <f t="shared" ref="H6:H23" si="1">IFERROR(F6/E6*100,0)</f>
        <v>95.337691950528651</v>
      </c>
      <c r="I6" s="67" t="s">
        <v>67</v>
      </c>
    </row>
    <row r="7" spans="2:9" x14ac:dyDescent="0.3">
      <c r="B7" s="4" t="s">
        <v>20</v>
      </c>
      <c r="C7" s="68">
        <f>SUM(C8:C9)</f>
        <v>3605758.78</v>
      </c>
      <c r="D7" s="68">
        <f t="shared" ref="D7:F7" si="2">SUM(D8:D9)</f>
        <v>5601000</v>
      </c>
      <c r="E7" s="68">
        <f t="shared" si="2"/>
        <v>5342000</v>
      </c>
      <c r="F7" s="68">
        <f t="shared" si="2"/>
        <v>5195710.1399999997</v>
      </c>
      <c r="G7" s="65">
        <f t="shared" si="0"/>
        <v>144.09477885262197</v>
      </c>
      <c r="H7" s="65">
        <f t="shared" si="1"/>
        <v>97.261515162860348</v>
      </c>
    </row>
    <row r="8" spans="2:9" x14ac:dyDescent="0.3">
      <c r="B8" s="16" t="s">
        <v>21</v>
      </c>
      <c r="C8" s="69">
        <v>2354040.5499999998</v>
      </c>
      <c r="D8" s="91">
        <v>4004700</v>
      </c>
      <c r="E8" s="91">
        <v>3817700</v>
      </c>
      <c r="F8" s="70">
        <v>3683016.75</v>
      </c>
      <c r="G8" s="66">
        <f t="shared" si="0"/>
        <v>156.45511076688973</v>
      </c>
      <c r="H8" s="66">
        <f t="shared" si="1"/>
        <v>96.472136364826994</v>
      </c>
    </row>
    <row r="9" spans="2:9" x14ac:dyDescent="0.3">
      <c r="B9" s="9" t="s">
        <v>22</v>
      </c>
      <c r="C9" s="69">
        <v>1251718.23</v>
      </c>
      <c r="D9" s="91">
        <v>1596300</v>
      </c>
      <c r="E9" s="91">
        <v>1524300</v>
      </c>
      <c r="F9" s="70">
        <v>1512693.39</v>
      </c>
      <c r="G9" s="66">
        <f t="shared" si="0"/>
        <v>120.84935361211444</v>
      </c>
      <c r="H9" s="66">
        <f t="shared" si="1"/>
        <v>99.238561306829354</v>
      </c>
    </row>
    <row r="10" spans="2:9" x14ac:dyDescent="0.3">
      <c r="B10" s="4" t="s">
        <v>23</v>
      </c>
      <c r="C10" s="90">
        <v>0</v>
      </c>
      <c r="D10" s="90">
        <v>0</v>
      </c>
      <c r="E10" s="90">
        <v>0</v>
      </c>
      <c r="F10" s="68">
        <v>0</v>
      </c>
      <c r="G10" s="65">
        <f t="shared" si="0"/>
        <v>0</v>
      </c>
      <c r="H10" s="65">
        <f t="shared" si="1"/>
        <v>0</v>
      </c>
    </row>
    <row r="11" spans="2:9" x14ac:dyDescent="0.3">
      <c r="B11" s="4" t="s">
        <v>25</v>
      </c>
      <c r="C11" s="90">
        <f>C12</f>
        <v>1121357.42</v>
      </c>
      <c r="D11" s="90">
        <f t="shared" ref="D11:E11" si="3">D12</f>
        <v>441063</v>
      </c>
      <c r="E11" s="90">
        <f t="shared" si="3"/>
        <v>441063</v>
      </c>
      <c r="F11" s="68">
        <f t="shared" ref="F11" si="4">F12</f>
        <v>340512.49</v>
      </c>
      <c r="G11" s="65">
        <f t="shared" si="0"/>
        <v>30.366097724666592</v>
      </c>
      <c r="H11" s="65">
        <f t="shared" si="1"/>
        <v>77.202687597916849</v>
      </c>
    </row>
    <row r="12" spans="2:9" x14ac:dyDescent="0.3">
      <c r="B12" s="8" t="s">
        <v>26</v>
      </c>
      <c r="C12" s="69">
        <v>1121357.42</v>
      </c>
      <c r="D12" s="92">
        <v>441063</v>
      </c>
      <c r="E12" s="92">
        <v>441063</v>
      </c>
      <c r="F12" s="70">
        <v>340512.49</v>
      </c>
      <c r="G12" s="66">
        <f t="shared" si="0"/>
        <v>30.366097724666592</v>
      </c>
      <c r="H12" s="66">
        <f t="shared" si="1"/>
        <v>77.202687597916849</v>
      </c>
    </row>
    <row r="13" spans="2:9" x14ac:dyDescent="0.3">
      <c r="B13" s="4" t="s">
        <v>117</v>
      </c>
      <c r="C13" s="90">
        <f>C14</f>
        <v>7095727.0700000003</v>
      </c>
      <c r="D13" s="90">
        <f t="shared" ref="D13" si="5">D14</f>
        <v>8985000</v>
      </c>
      <c r="E13" s="90">
        <v>8985000</v>
      </c>
      <c r="F13" s="68">
        <f t="shared" ref="F13" si="6">F14</f>
        <v>8543307.7799999993</v>
      </c>
      <c r="G13" s="65">
        <f t="shared" si="0"/>
        <v>120.4007382995355</v>
      </c>
      <c r="H13" s="65">
        <f t="shared" si="1"/>
        <v>95.084115525876456</v>
      </c>
    </row>
    <row r="14" spans="2:9" x14ac:dyDescent="0.3">
      <c r="B14" s="8" t="s">
        <v>118</v>
      </c>
      <c r="C14" s="69">
        <v>7095727.0700000003</v>
      </c>
      <c r="D14" s="92">
        <v>8985000</v>
      </c>
      <c r="E14" s="92">
        <v>8985000</v>
      </c>
      <c r="F14" s="70">
        <v>8543307.7799999993</v>
      </c>
      <c r="G14" s="66">
        <f t="shared" si="0"/>
        <v>120.4007382995355</v>
      </c>
      <c r="H14" s="66">
        <f t="shared" si="1"/>
        <v>95.084115525876456</v>
      </c>
    </row>
    <row r="15" spans="2:9" ht="15.75" customHeight="1" x14ac:dyDescent="0.3">
      <c r="B15" s="4" t="s">
        <v>119</v>
      </c>
      <c r="C15" s="65">
        <f>C16+C19+C20+C22</f>
        <v>12046687.050000001</v>
      </c>
      <c r="D15" s="93">
        <f t="shared" ref="D15" si="7">D16+D19+D20+D22</f>
        <v>15300000</v>
      </c>
      <c r="E15" s="93">
        <v>15041000</v>
      </c>
      <c r="F15" s="65">
        <f t="shared" ref="F15" si="8">F16+F19+F20+F22</f>
        <v>14520570.229999999</v>
      </c>
      <c r="G15" s="65">
        <f t="shared" si="0"/>
        <v>120.5357968521312</v>
      </c>
      <c r="H15" s="65">
        <f t="shared" si="1"/>
        <v>96.539925736320711</v>
      </c>
    </row>
    <row r="16" spans="2:9" ht="15.75" customHeight="1" x14ac:dyDescent="0.3">
      <c r="B16" s="4" t="s">
        <v>20</v>
      </c>
      <c r="C16" s="90">
        <f>C17+C18</f>
        <v>3605758.78</v>
      </c>
      <c r="D16" s="90">
        <f t="shared" ref="D16:F16" si="9">D17+D18</f>
        <v>5601000</v>
      </c>
      <c r="E16" s="90">
        <v>5342000</v>
      </c>
      <c r="F16" s="68">
        <f t="shared" si="9"/>
        <v>5195710.1399999997</v>
      </c>
      <c r="G16" s="65">
        <f t="shared" si="0"/>
        <v>144.09477885262197</v>
      </c>
      <c r="H16" s="65">
        <f t="shared" si="1"/>
        <v>97.261515162860348</v>
      </c>
    </row>
    <row r="17" spans="2:10" x14ac:dyDescent="0.3">
      <c r="B17" s="16" t="s">
        <v>21</v>
      </c>
      <c r="C17" s="69">
        <v>2354040.5499999998</v>
      </c>
      <c r="D17" s="91">
        <v>4004700</v>
      </c>
      <c r="E17" s="91">
        <v>3817700</v>
      </c>
      <c r="F17" s="70">
        <v>3683016.75</v>
      </c>
      <c r="G17" s="65">
        <f t="shared" si="0"/>
        <v>156.45511076688973</v>
      </c>
      <c r="H17" s="66">
        <f t="shared" si="1"/>
        <v>96.472136364826994</v>
      </c>
    </row>
    <row r="18" spans="2:10" x14ac:dyDescent="0.3">
      <c r="B18" s="9" t="s">
        <v>22</v>
      </c>
      <c r="C18" s="69">
        <v>1251718.23</v>
      </c>
      <c r="D18" s="91">
        <v>1596300</v>
      </c>
      <c r="E18" s="91">
        <v>1524300</v>
      </c>
      <c r="F18" s="70">
        <v>1512693.39</v>
      </c>
      <c r="G18" s="65">
        <f t="shared" si="0"/>
        <v>120.84935361211444</v>
      </c>
      <c r="H18" s="66">
        <f t="shared" si="1"/>
        <v>99.238561306829354</v>
      </c>
    </row>
    <row r="19" spans="2:10" x14ac:dyDescent="0.3">
      <c r="B19" s="4" t="s">
        <v>23</v>
      </c>
      <c r="C19" s="90">
        <v>0</v>
      </c>
      <c r="D19" s="90">
        <v>0</v>
      </c>
      <c r="E19" s="90">
        <v>0</v>
      </c>
      <c r="F19" s="68">
        <v>0</v>
      </c>
      <c r="G19" s="65">
        <f t="shared" si="0"/>
        <v>0</v>
      </c>
      <c r="H19" s="65">
        <f t="shared" si="1"/>
        <v>0</v>
      </c>
    </row>
    <row r="20" spans="2:10" x14ac:dyDescent="0.3">
      <c r="B20" s="4" t="s">
        <v>25</v>
      </c>
      <c r="C20" s="90">
        <f>C21</f>
        <v>1345201.72</v>
      </c>
      <c r="D20" s="90">
        <f t="shared" ref="D20:F20" si="10">D21</f>
        <v>714000</v>
      </c>
      <c r="E20" s="90">
        <v>714000</v>
      </c>
      <c r="F20" s="68">
        <f t="shared" si="10"/>
        <v>781552.31</v>
      </c>
      <c r="G20" s="65">
        <f t="shared" si="0"/>
        <v>58.099264844829378</v>
      </c>
      <c r="H20" s="65">
        <f t="shared" si="1"/>
        <v>109.46110784313727</v>
      </c>
    </row>
    <row r="21" spans="2:10" x14ac:dyDescent="0.3">
      <c r="B21" s="8" t="s">
        <v>26</v>
      </c>
      <c r="C21" s="69">
        <v>1345201.72</v>
      </c>
      <c r="D21" s="92">
        <v>714000</v>
      </c>
      <c r="E21" s="92">
        <v>714000</v>
      </c>
      <c r="F21" s="70">
        <v>781552.31</v>
      </c>
      <c r="G21" s="65">
        <f t="shared" si="0"/>
        <v>58.099264844829378</v>
      </c>
      <c r="H21" s="66">
        <f t="shared" si="1"/>
        <v>109.46110784313727</v>
      </c>
    </row>
    <row r="22" spans="2:10" x14ac:dyDescent="0.3">
      <c r="B22" s="4" t="s">
        <v>117</v>
      </c>
      <c r="C22" s="90">
        <f>C23</f>
        <v>7095726.5499999998</v>
      </c>
      <c r="D22" s="90">
        <f t="shared" ref="D22" si="11">D23</f>
        <v>8985000</v>
      </c>
      <c r="E22" s="90">
        <v>8985000</v>
      </c>
      <c r="F22" s="68">
        <f t="shared" ref="F22" si="12">F23</f>
        <v>8543307.7799999993</v>
      </c>
      <c r="G22" s="65">
        <f t="shared" si="0"/>
        <v>120.40074712292852</v>
      </c>
      <c r="H22" s="65">
        <f t="shared" si="1"/>
        <v>95.084115525876456</v>
      </c>
    </row>
    <row r="23" spans="2:10" x14ac:dyDescent="0.3">
      <c r="B23" s="8" t="s">
        <v>118</v>
      </c>
      <c r="C23" s="69">
        <v>7095726.5499999998</v>
      </c>
      <c r="D23" s="92">
        <v>8985000</v>
      </c>
      <c r="E23" s="92">
        <v>8985000</v>
      </c>
      <c r="F23" s="70">
        <v>8543307.7799999993</v>
      </c>
      <c r="G23" s="65">
        <f t="shared" si="0"/>
        <v>120.40074712292852</v>
      </c>
      <c r="H23" s="66">
        <f t="shared" si="1"/>
        <v>95.084115525876456</v>
      </c>
    </row>
    <row r="25" spans="2:10" ht="15" customHeight="1" x14ac:dyDescent="0.3">
      <c r="B25" s="71"/>
      <c r="C25" s="71"/>
      <c r="D25" s="71"/>
      <c r="E25" s="71"/>
      <c r="F25" s="71"/>
      <c r="G25" s="71"/>
      <c r="H25" s="71"/>
      <c r="I25" s="71"/>
      <c r="J25" s="71"/>
    </row>
    <row r="26" spans="2:10" x14ac:dyDescent="0.3">
      <c r="B26" s="71"/>
      <c r="C26" s="71"/>
      <c r="D26" s="71"/>
      <c r="E26" s="71"/>
      <c r="F26" s="71"/>
      <c r="G26" s="71"/>
      <c r="H26" s="71"/>
      <c r="I26" s="71"/>
      <c r="J26" s="71"/>
    </row>
    <row r="27" spans="2:10" x14ac:dyDescent="0.3">
      <c r="B27" s="71"/>
      <c r="C27" s="71"/>
      <c r="D27" s="71"/>
      <c r="E27" s="71"/>
      <c r="F27" s="71"/>
      <c r="G27" s="71"/>
      <c r="H27" s="71"/>
      <c r="I27" s="71"/>
      <c r="J27" s="71"/>
    </row>
  </sheetData>
  <mergeCells count="1">
    <mergeCell ref="B2:G2"/>
  </mergeCells>
  <pageMargins left="0.7" right="0.7" top="0.75" bottom="0.75" header="0.3" footer="0.3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9"/>
  <sheetViews>
    <sheetView zoomScaleNormal="100" workbookViewId="0">
      <selection activeCell="H9" sqref="H9"/>
    </sheetView>
  </sheetViews>
  <sheetFormatPr defaultColWidth="9.109375" defaultRowHeight="13.2" x14ac:dyDescent="0.3"/>
  <cols>
    <col min="1" max="1" width="9.109375" style="67"/>
    <col min="2" max="2" width="37.6640625" style="67" customWidth="1"/>
    <col min="3" max="5" width="25.33203125" style="67" customWidth="1"/>
    <col min="6" max="7" width="15.6640625" style="67" customWidth="1"/>
    <col min="8" max="8" width="13.88671875" style="67" customWidth="1"/>
    <col min="9" max="16384" width="9.109375" style="67"/>
  </cols>
  <sheetData>
    <row r="1" spans="2:8" x14ac:dyDescent="0.3">
      <c r="B1" s="27"/>
      <c r="C1" s="27"/>
      <c r="D1" s="27"/>
      <c r="E1" s="2"/>
      <c r="F1" s="2"/>
      <c r="G1" s="2"/>
    </row>
    <row r="2" spans="2:8" ht="15.75" customHeight="1" x14ac:dyDescent="0.3">
      <c r="B2" s="135" t="s">
        <v>42</v>
      </c>
      <c r="C2" s="135"/>
      <c r="D2" s="135"/>
      <c r="E2" s="135"/>
      <c r="F2" s="135"/>
      <c r="G2" s="135"/>
    </row>
    <row r="3" spans="2:8" x14ac:dyDescent="0.3">
      <c r="B3" s="27"/>
      <c r="C3" s="27"/>
      <c r="D3" s="27"/>
      <c r="E3" s="2"/>
      <c r="F3" s="2"/>
      <c r="G3" s="2"/>
    </row>
    <row r="4" spans="2:8" ht="26.4" x14ac:dyDescent="0.3">
      <c r="B4" s="19" t="s">
        <v>8</v>
      </c>
      <c r="C4" s="19" t="s">
        <v>150</v>
      </c>
      <c r="D4" s="19" t="s">
        <v>163</v>
      </c>
      <c r="E4" s="19" t="s">
        <v>54</v>
      </c>
      <c r="F4" s="19" t="s">
        <v>149</v>
      </c>
      <c r="G4" s="19" t="s">
        <v>27</v>
      </c>
      <c r="H4" s="19" t="s">
        <v>55</v>
      </c>
    </row>
    <row r="5" spans="2:8" x14ac:dyDescent="0.3">
      <c r="B5" s="19">
        <v>1</v>
      </c>
      <c r="C5" s="19">
        <v>2</v>
      </c>
      <c r="D5" s="19">
        <v>3</v>
      </c>
      <c r="E5" s="19">
        <v>4</v>
      </c>
      <c r="F5" s="19">
        <v>5</v>
      </c>
      <c r="G5" s="19" t="s">
        <v>39</v>
      </c>
      <c r="H5" s="19" t="s">
        <v>168</v>
      </c>
    </row>
    <row r="6" spans="2:8" ht="15.75" customHeight="1" x14ac:dyDescent="0.3">
      <c r="B6" s="4" t="s">
        <v>52</v>
      </c>
      <c r="C6" s="68">
        <f>C7</f>
        <v>12046687.050000001</v>
      </c>
      <c r="D6" s="68">
        <f t="shared" ref="D6:F6" si="0">D7</f>
        <v>15300000</v>
      </c>
      <c r="E6" s="68">
        <v>15041000</v>
      </c>
      <c r="F6" s="68">
        <f t="shared" si="0"/>
        <v>14520570.229999999</v>
      </c>
      <c r="G6" s="65">
        <f>IFERROR(F6/C6*100,0)</f>
        <v>120.5357968521312</v>
      </c>
      <c r="H6" s="65">
        <f>IFERROR(F6/E6*100,0)</f>
        <v>96.539925736320711</v>
      </c>
    </row>
    <row r="7" spans="2:8" ht="15.75" customHeight="1" x14ac:dyDescent="0.3">
      <c r="B7" s="4" t="s">
        <v>9</v>
      </c>
      <c r="C7" s="68">
        <f>C8</f>
        <v>12046687.050000001</v>
      </c>
      <c r="D7" s="68">
        <f t="shared" ref="D7" si="1">D8</f>
        <v>15300000</v>
      </c>
      <c r="E7" s="68">
        <v>15041000</v>
      </c>
      <c r="F7" s="68">
        <f t="shared" ref="F7" si="2">F8</f>
        <v>14520570.229999999</v>
      </c>
      <c r="G7" s="65">
        <f>IFERROR(F7/C7*100,0)</f>
        <v>120.5357968521312</v>
      </c>
      <c r="H7" s="65">
        <f>IFERROR(F7/E7*100,0)</f>
        <v>96.539925736320711</v>
      </c>
    </row>
    <row r="8" spans="2:8" ht="26.4" x14ac:dyDescent="0.3">
      <c r="B8" s="16" t="s">
        <v>10</v>
      </c>
      <c r="C8" s="69">
        <v>12046687.050000001</v>
      </c>
      <c r="D8" s="69">
        <f>'POSEBNI DIO'!D8</f>
        <v>15300000</v>
      </c>
      <c r="E8" s="69">
        <v>15041000</v>
      </c>
      <c r="F8" s="70">
        <f>'POSEBNI DIO'!F8</f>
        <v>14520570.229999999</v>
      </c>
      <c r="G8" s="66">
        <f>IFERROR(F8/C8*100,0)</f>
        <v>120.5357968521312</v>
      </c>
      <c r="H8" s="66">
        <f>IFERROR(F8/E8*100,0)</f>
        <v>96.539925736320711</v>
      </c>
    </row>
    <row r="9" spans="2:8" x14ac:dyDescent="0.3">
      <c r="B9" s="71"/>
      <c r="C9" s="71"/>
      <c r="D9" s="71"/>
      <c r="E9" s="71"/>
      <c r="F9" s="71"/>
      <c r="G9" s="71"/>
    </row>
  </sheetData>
  <mergeCells count="1">
    <mergeCell ref="B2:G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0"/>
  <sheetViews>
    <sheetView workbookViewId="0">
      <selection activeCell="B6" sqref="B6:C6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8.44140625" customWidth="1"/>
    <col min="5" max="5" width="5.44140625" bestFit="1" customWidth="1"/>
    <col min="6" max="10" width="25.33203125" customWidth="1"/>
    <col min="11" max="12" width="15.6640625" customWidth="1"/>
  </cols>
  <sheetData>
    <row r="1" spans="2:12" ht="18" customHeight="1" x14ac:dyDescent="0.3">
      <c r="B1" s="1"/>
      <c r="C1" s="1"/>
      <c r="D1" s="10"/>
      <c r="E1" s="1"/>
      <c r="F1" s="1"/>
      <c r="G1" s="1"/>
      <c r="H1" s="1"/>
      <c r="I1" s="1"/>
      <c r="J1" s="1"/>
      <c r="K1" s="1"/>
      <c r="L1" s="10"/>
    </row>
    <row r="2" spans="2:12" ht="15.75" customHeight="1" x14ac:dyDescent="0.3">
      <c r="B2" s="139" t="s">
        <v>14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</row>
    <row r="3" spans="2:12" ht="17.399999999999999" x14ac:dyDescent="0.3">
      <c r="B3" s="1"/>
      <c r="C3" s="1"/>
      <c r="D3" s="10"/>
      <c r="E3" s="1"/>
      <c r="F3" s="1"/>
      <c r="G3" s="1"/>
      <c r="H3" s="1"/>
      <c r="I3" s="1"/>
      <c r="J3" s="2"/>
      <c r="K3" s="2"/>
      <c r="L3" s="2"/>
    </row>
    <row r="4" spans="2:12" ht="18" customHeight="1" x14ac:dyDescent="0.3">
      <c r="B4" s="139" t="s">
        <v>58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</row>
    <row r="5" spans="2:12" ht="15.75" customHeight="1" x14ac:dyDescent="0.3">
      <c r="B5" s="139" t="s">
        <v>43</v>
      </c>
      <c r="C5" s="139"/>
      <c r="D5" s="139"/>
      <c r="E5" s="139"/>
      <c r="F5" s="139"/>
      <c r="G5" s="139"/>
      <c r="H5" s="139"/>
      <c r="I5" s="139"/>
      <c r="J5" s="139"/>
      <c r="K5" s="139"/>
      <c r="L5" s="139"/>
    </row>
    <row r="6" spans="2:12" ht="17.399999999999999" x14ac:dyDescent="0.3">
      <c r="B6" s="1"/>
      <c r="C6" s="1"/>
      <c r="D6" s="10"/>
      <c r="E6" s="1"/>
      <c r="F6" s="1"/>
      <c r="G6" s="1"/>
      <c r="H6" s="1"/>
      <c r="I6" s="1"/>
      <c r="J6" s="2"/>
      <c r="K6" s="2"/>
      <c r="L6" s="2"/>
    </row>
    <row r="7" spans="2:12" ht="25.5" customHeight="1" x14ac:dyDescent="0.3">
      <c r="B7" s="136" t="s">
        <v>8</v>
      </c>
      <c r="C7" s="137"/>
      <c r="D7" s="137"/>
      <c r="E7" s="137"/>
      <c r="F7" s="138"/>
      <c r="G7" s="20" t="s">
        <v>151</v>
      </c>
      <c r="H7" s="20" t="s">
        <v>163</v>
      </c>
      <c r="I7" s="89" t="s">
        <v>54</v>
      </c>
      <c r="J7" s="20" t="s">
        <v>152</v>
      </c>
      <c r="K7" s="20" t="s">
        <v>27</v>
      </c>
      <c r="L7" s="20" t="s">
        <v>55</v>
      </c>
    </row>
    <row r="8" spans="2:12" x14ac:dyDescent="0.3">
      <c r="B8" s="136">
        <v>1</v>
      </c>
      <c r="C8" s="137"/>
      <c r="D8" s="137"/>
      <c r="E8" s="137"/>
      <c r="F8" s="138"/>
      <c r="G8" s="21">
        <v>2</v>
      </c>
      <c r="H8" s="21">
        <v>3</v>
      </c>
      <c r="I8" s="21">
        <v>4</v>
      </c>
      <c r="J8" s="21">
        <v>5</v>
      </c>
      <c r="K8" s="105" t="s">
        <v>39</v>
      </c>
      <c r="L8" s="105" t="s">
        <v>166</v>
      </c>
    </row>
    <row r="9" spans="2:12" ht="26.4" x14ac:dyDescent="0.3">
      <c r="B9" s="4">
        <v>8</v>
      </c>
      <c r="C9" s="4"/>
      <c r="D9" s="4"/>
      <c r="E9" s="4"/>
      <c r="F9" s="4" t="s">
        <v>11</v>
      </c>
      <c r="G9" s="83">
        <v>0</v>
      </c>
      <c r="H9" s="83">
        <v>0</v>
      </c>
      <c r="I9" s="83">
        <v>0</v>
      </c>
      <c r="J9" s="85">
        <v>0</v>
      </c>
      <c r="K9" s="85">
        <v>0</v>
      </c>
      <c r="L9" s="85">
        <v>0</v>
      </c>
    </row>
    <row r="10" spans="2:12" x14ac:dyDescent="0.3">
      <c r="B10" s="4"/>
      <c r="C10" s="8">
        <v>84</v>
      </c>
      <c r="D10" s="8"/>
      <c r="E10" s="8"/>
      <c r="F10" s="8" t="s">
        <v>16</v>
      </c>
      <c r="G10" s="84">
        <v>0</v>
      </c>
      <c r="H10" s="84">
        <v>0</v>
      </c>
      <c r="I10" s="84">
        <v>0</v>
      </c>
      <c r="J10" s="86">
        <v>0</v>
      </c>
      <c r="K10" s="86">
        <v>0</v>
      </c>
      <c r="L10" s="86">
        <v>0</v>
      </c>
    </row>
    <row r="11" spans="2:12" ht="52.8" x14ac:dyDescent="0.3">
      <c r="B11" s="5"/>
      <c r="C11" s="5"/>
      <c r="D11" s="5">
        <v>841</v>
      </c>
      <c r="E11" s="5"/>
      <c r="F11" s="16" t="s">
        <v>44</v>
      </c>
      <c r="G11" s="84">
        <v>0</v>
      </c>
      <c r="H11" s="84">
        <v>0</v>
      </c>
      <c r="I11" s="84">
        <v>0</v>
      </c>
      <c r="J11" s="86">
        <v>0</v>
      </c>
      <c r="K11" s="86">
        <v>0</v>
      </c>
      <c r="L11" s="86">
        <v>0</v>
      </c>
    </row>
    <row r="12" spans="2:12" ht="26.4" x14ac:dyDescent="0.3">
      <c r="B12" s="5"/>
      <c r="C12" s="5"/>
      <c r="D12" s="5"/>
      <c r="E12" s="5">
        <v>8413</v>
      </c>
      <c r="F12" s="16" t="s">
        <v>45</v>
      </c>
      <c r="G12" s="84">
        <v>0</v>
      </c>
      <c r="H12" s="84">
        <v>0</v>
      </c>
      <c r="I12" s="84">
        <v>0</v>
      </c>
      <c r="J12" s="86">
        <v>0</v>
      </c>
      <c r="K12" s="86">
        <v>0</v>
      </c>
      <c r="L12" s="86">
        <v>0</v>
      </c>
    </row>
    <row r="13" spans="2:12" ht="26.4" x14ac:dyDescent="0.3">
      <c r="B13" s="6">
        <v>5</v>
      </c>
      <c r="C13" s="7"/>
      <c r="D13" s="7"/>
      <c r="E13" s="7"/>
      <c r="F13" s="11" t="s">
        <v>12</v>
      </c>
      <c r="G13" s="83">
        <v>0</v>
      </c>
      <c r="H13" s="83">
        <v>0</v>
      </c>
      <c r="I13" s="83">
        <v>0</v>
      </c>
      <c r="J13" s="85">
        <v>0</v>
      </c>
      <c r="K13" s="85">
        <v>0</v>
      </c>
      <c r="L13" s="85">
        <v>0</v>
      </c>
    </row>
    <row r="14" spans="2:12" ht="26.4" x14ac:dyDescent="0.3">
      <c r="B14" s="8"/>
      <c r="C14" s="8">
        <v>54</v>
      </c>
      <c r="D14" s="8"/>
      <c r="E14" s="8"/>
      <c r="F14" s="12" t="s">
        <v>17</v>
      </c>
      <c r="G14" s="84">
        <v>0</v>
      </c>
      <c r="H14" s="84">
        <v>0</v>
      </c>
      <c r="I14" s="84">
        <v>0</v>
      </c>
      <c r="J14" s="86">
        <v>0</v>
      </c>
      <c r="K14" s="86">
        <v>0</v>
      </c>
      <c r="L14" s="86">
        <v>0</v>
      </c>
    </row>
    <row r="15" spans="2:12" ht="66" x14ac:dyDescent="0.3">
      <c r="B15" s="8"/>
      <c r="C15" s="8"/>
      <c r="D15" s="8">
        <v>541</v>
      </c>
      <c r="E15" s="16"/>
      <c r="F15" s="16" t="s">
        <v>46</v>
      </c>
      <c r="G15" s="84">
        <v>0</v>
      </c>
      <c r="H15" s="84">
        <v>0</v>
      </c>
      <c r="I15" s="84">
        <v>0</v>
      </c>
      <c r="J15" s="86">
        <v>0</v>
      </c>
      <c r="K15" s="86">
        <v>0</v>
      </c>
      <c r="L15" s="86">
        <v>0</v>
      </c>
    </row>
    <row r="16" spans="2:12" ht="39.6" x14ac:dyDescent="0.3">
      <c r="B16" s="8"/>
      <c r="C16" s="8"/>
      <c r="D16" s="8"/>
      <c r="E16" s="16">
        <v>5413</v>
      </c>
      <c r="F16" s="16" t="s">
        <v>47</v>
      </c>
      <c r="G16" s="84">
        <v>0</v>
      </c>
      <c r="H16" s="84">
        <v>0</v>
      </c>
      <c r="I16" s="84">
        <v>0</v>
      </c>
      <c r="J16" s="86">
        <v>0</v>
      </c>
      <c r="K16" s="86">
        <v>0</v>
      </c>
      <c r="L16" s="86">
        <v>0</v>
      </c>
    </row>
    <row r="18" spans="2:12" x14ac:dyDescent="0.3"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</row>
    <row r="19" spans="2:12" x14ac:dyDescent="0.3"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</row>
    <row r="20" spans="2:12" x14ac:dyDescent="0.3"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3"/>
  <sheetViews>
    <sheetView workbookViewId="0">
      <selection activeCell="D4" sqref="D4"/>
    </sheetView>
  </sheetViews>
  <sheetFormatPr defaultRowHeight="14.4" x14ac:dyDescent="0.3"/>
  <cols>
    <col min="2" max="2" width="37.6640625" customWidth="1"/>
    <col min="3" max="6" width="25.33203125" customWidth="1"/>
    <col min="7" max="8" width="15.6640625" customWidth="1"/>
  </cols>
  <sheetData>
    <row r="1" spans="2:8" ht="17.399999999999999" x14ac:dyDescent="0.3">
      <c r="B1" s="10"/>
      <c r="C1" s="10"/>
      <c r="D1" s="10"/>
      <c r="E1" s="10"/>
      <c r="F1" s="2"/>
      <c r="G1" s="2"/>
      <c r="H1" s="2"/>
    </row>
    <row r="2" spans="2:8" ht="15.75" customHeight="1" x14ac:dyDescent="0.3">
      <c r="B2" s="139" t="s">
        <v>48</v>
      </c>
      <c r="C2" s="139"/>
      <c r="D2" s="139"/>
      <c r="E2" s="139"/>
      <c r="F2" s="139"/>
      <c r="G2" s="139"/>
      <c r="H2" s="139"/>
    </row>
    <row r="3" spans="2:8" ht="17.399999999999999" x14ac:dyDescent="0.3">
      <c r="B3" s="10"/>
      <c r="C3" s="10"/>
      <c r="D3" s="10"/>
      <c r="E3" s="10"/>
      <c r="F3" s="2"/>
      <c r="G3" s="2"/>
      <c r="H3" s="2"/>
    </row>
    <row r="4" spans="2:8" ht="26.4" x14ac:dyDescent="0.3">
      <c r="B4" s="19" t="s">
        <v>8</v>
      </c>
      <c r="C4" s="19" t="s">
        <v>158</v>
      </c>
      <c r="D4" s="19" t="s">
        <v>163</v>
      </c>
      <c r="E4" s="19" t="s">
        <v>54</v>
      </c>
      <c r="F4" s="19" t="s">
        <v>159</v>
      </c>
      <c r="G4" s="19" t="s">
        <v>27</v>
      </c>
      <c r="H4" s="19" t="s">
        <v>55</v>
      </c>
    </row>
    <row r="5" spans="2:8" x14ac:dyDescent="0.3">
      <c r="B5" s="19">
        <v>1</v>
      </c>
      <c r="C5" s="19">
        <v>2</v>
      </c>
      <c r="D5" s="19">
        <v>3</v>
      </c>
      <c r="E5" s="19">
        <v>4</v>
      </c>
      <c r="F5" s="19">
        <v>5</v>
      </c>
      <c r="G5" s="19" t="s">
        <v>39</v>
      </c>
      <c r="H5" s="19" t="s">
        <v>166</v>
      </c>
    </row>
    <row r="6" spans="2:8" x14ac:dyDescent="0.3">
      <c r="B6" s="4" t="s">
        <v>49</v>
      </c>
      <c r="C6" s="81">
        <v>0</v>
      </c>
      <c r="D6" s="81">
        <v>0</v>
      </c>
      <c r="E6" s="81">
        <v>0</v>
      </c>
      <c r="F6" s="82">
        <v>0</v>
      </c>
      <c r="G6" s="82">
        <v>0</v>
      </c>
      <c r="H6" s="82">
        <v>0</v>
      </c>
    </row>
    <row r="7" spans="2:8" x14ac:dyDescent="0.3">
      <c r="B7" s="4" t="s">
        <v>20</v>
      </c>
      <c r="C7" s="81">
        <v>0</v>
      </c>
      <c r="D7" s="81">
        <v>0</v>
      </c>
      <c r="E7" s="81">
        <v>0</v>
      </c>
      <c r="F7" s="82">
        <v>0</v>
      </c>
      <c r="G7" s="82">
        <v>0</v>
      </c>
      <c r="H7" s="82">
        <v>0</v>
      </c>
    </row>
    <row r="8" spans="2:8" x14ac:dyDescent="0.3">
      <c r="B8" s="13" t="s">
        <v>21</v>
      </c>
      <c r="C8" s="3">
        <v>0</v>
      </c>
      <c r="D8" s="3">
        <v>0</v>
      </c>
      <c r="E8" s="3">
        <v>0</v>
      </c>
      <c r="F8" s="17">
        <v>0</v>
      </c>
      <c r="G8" s="17">
        <v>0</v>
      </c>
      <c r="H8" s="17">
        <v>0</v>
      </c>
    </row>
    <row r="9" spans="2:8" x14ac:dyDescent="0.3">
      <c r="B9" s="14" t="s">
        <v>22</v>
      </c>
      <c r="C9" s="3">
        <v>0</v>
      </c>
      <c r="D9" s="3">
        <v>0</v>
      </c>
      <c r="E9" s="3">
        <v>0</v>
      </c>
      <c r="F9" s="17">
        <v>0</v>
      </c>
      <c r="G9" s="17">
        <v>0</v>
      </c>
      <c r="H9" s="17">
        <v>0</v>
      </c>
    </row>
    <row r="10" spans="2:8" x14ac:dyDescent="0.3">
      <c r="B10" s="4" t="s">
        <v>23</v>
      </c>
      <c r="C10" s="81">
        <v>0</v>
      </c>
      <c r="D10" s="81">
        <v>0</v>
      </c>
      <c r="E10" s="81">
        <v>0</v>
      </c>
      <c r="F10" s="82">
        <v>0</v>
      </c>
      <c r="G10" s="82">
        <v>0</v>
      </c>
      <c r="H10" s="82">
        <v>0</v>
      </c>
    </row>
    <row r="11" spans="2:8" x14ac:dyDescent="0.3">
      <c r="B11" s="15" t="s">
        <v>24</v>
      </c>
      <c r="C11" s="3">
        <v>0</v>
      </c>
      <c r="D11" s="3">
        <v>0</v>
      </c>
      <c r="E11" s="3">
        <v>0</v>
      </c>
      <c r="F11" s="17">
        <v>0</v>
      </c>
      <c r="G11" s="17">
        <v>0</v>
      </c>
      <c r="H11" s="17">
        <v>0</v>
      </c>
    </row>
    <row r="12" spans="2:8" x14ac:dyDescent="0.3">
      <c r="B12" s="4" t="s">
        <v>25</v>
      </c>
      <c r="C12" s="81">
        <v>0</v>
      </c>
      <c r="D12" s="81">
        <v>0</v>
      </c>
      <c r="E12" s="81">
        <v>0</v>
      </c>
      <c r="F12" s="82">
        <v>0</v>
      </c>
      <c r="G12" s="82">
        <v>0</v>
      </c>
      <c r="H12" s="82">
        <v>0</v>
      </c>
    </row>
    <row r="13" spans="2:8" x14ac:dyDescent="0.3">
      <c r="B13" s="15" t="s">
        <v>26</v>
      </c>
      <c r="C13" s="3">
        <v>0</v>
      </c>
      <c r="D13" s="3">
        <v>0</v>
      </c>
      <c r="E13" s="3">
        <v>0</v>
      </c>
      <c r="F13" s="17">
        <v>0</v>
      </c>
      <c r="G13" s="17">
        <v>0</v>
      </c>
      <c r="H13" s="17">
        <v>0</v>
      </c>
    </row>
    <row r="14" spans="2:8" ht="15.75" customHeight="1" x14ac:dyDescent="0.3">
      <c r="B14" s="4" t="s">
        <v>50</v>
      </c>
      <c r="C14" s="81">
        <v>0</v>
      </c>
      <c r="D14" s="81">
        <v>0</v>
      </c>
      <c r="E14" s="81">
        <v>0</v>
      </c>
      <c r="F14" s="82">
        <v>0</v>
      </c>
      <c r="G14" s="82">
        <v>0</v>
      </c>
      <c r="H14" s="82">
        <v>0</v>
      </c>
    </row>
    <row r="15" spans="2:8" ht="15.75" customHeight="1" x14ac:dyDescent="0.3">
      <c r="B15" s="4" t="s">
        <v>20</v>
      </c>
      <c r="C15" s="81">
        <v>0</v>
      </c>
      <c r="D15" s="81">
        <v>0</v>
      </c>
      <c r="E15" s="81">
        <v>0</v>
      </c>
      <c r="F15" s="82">
        <v>0</v>
      </c>
      <c r="G15" s="82">
        <v>0</v>
      </c>
      <c r="H15" s="82">
        <v>0</v>
      </c>
    </row>
    <row r="16" spans="2:8" x14ac:dyDescent="0.3">
      <c r="B16" s="13" t="s">
        <v>21</v>
      </c>
      <c r="C16" s="3">
        <v>0</v>
      </c>
      <c r="D16" s="3">
        <v>0</v>
      </c>
      <c r="E16" s="3">
        <v>0</v>
      </c>
      <c r="F16" s="17">
        <v>0</v>
      </c>
      <c r="G16" s="17">
        <v>0</v>
      </c>
      <c r="H16" s="17">
        <v>0</v>
      </c>
    </row>
    <row r="17" spans="2:8" x14ac:dyDescent="0.3">
      <c r="B17" s="14" t="s">
        <v>22</v>
      </c>
      <c r="C17" s="3">
        <v>0</v>
      </c>
      <c r="D17" s="3">
        <v>0</v>
      </c>
      <c r="E17" s="3">
        <v>0</v>
      </c>
      <c r="F17" s="17">
        <v>0</v>
      </c>
      <c r="G17" s="17">
        <v>0</v>
      </c>
      <c r="H17" s="17">
        <v>0</v>
      </c>
    </row>
    <row r="18" spans="2:8" x14ac:dyDescent="0.3">
      <c r="B18" s="4" t="s">
        <v>23</v>
      </c>
      <c r="C18" s="81">
        <v>0</v>
      </c>
      <c r="D18" s="81">
        <v>0</v>
      </c>
      <c r="E18" s="81">
        <v>0</v>
      </c>
      <c r="F18" s="82">
        <v>0</v>
      </c>
      <c r="G18" s="82">
        <v>0</v>
      </c>
      <c r="H18" s="82">
        <v>0</v>
      </c>
    </row>
    <row r="19" spans="2:8" x14ac:dyDescent="0.3">
      <c r="B19" s="15" t="s">
        <v>24</v>
      </c>
      <c r="C19" s="3">
        <v>0</v>
      </c>
      <c r="D19" s="3">
        <v>0</v>
      </c>
      <c r="E19" s="3">
        <v>0</v>
      </c>
      <c r="F19" s="17">
        <v>0</v>
      </c>
      <c r="G19" s="17">
        <v>0</v>
      </c>
      <c r="H19" s="17">
        <v>0</v>
      </c>
    </row>
    <row r="20" spans="2:8" x14ac:dyDescent="0.3">
      <c r="B20" s="4" t="s">
        <v>25</v>
      </c>
      <c r="C20" s="81">
        <v>0</v>
      </c>
      <c r="D20" s="81">
        <v>0</v>
      </c>
      <c r="E20" s="81">
        <v>0</v>
      </c>
      <c r="F20" s="82">
        <v>0</v>
      </c>
      <c r="G20" s="82">
        <v>0</v>
      </c>
      <c r="H20" s="82">
        <v>0</v>
      </c>
    </row>
    <row r="21" spans="2:8" x14ac:dyDescent="0.3">
      <c r="B21" s="15" t="s">
        <v>26</v>
      </c>
      <c r="C21" s="3">
        <v>0</v>
      </c>
      <c r="D21" s="3">
        <v>0</v>
      </c>
      <c r="E21" s="3">
        <v>0</v>
      </c>
      <c r="F21" s="17">
        <v>0</v>
      </c>
      <c r="G21" s="17">
        <v>0</v>
      </c>
      <c r="H21" s="17">
        <v>0</v>
      </c>
    </row>
    <row r="23" spans="2:8" x14ac:dyDescent="0.3">
      <c r="B23" s="22"/>
      <c r="C23" s="22"/>
      <c r="D23" s="22"/>
      <c r="E23" s="22"/>
      <c r="F23" s="22"/>
      <c r="G23" s="22"/>
      <c r="H23" s="22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59"/>
  <sheetViews>
    <sheetView zoomScaleNormal="100" workbookViewId="0">
      <selection activeCell="B6" sqref="B6:C6"/>
    </sheetView>
  </sheetViews>
  <sheetFormatPr defaultColWidth="9.109375" defaultRowHeight="13.2" x14ac:dyDescent="0.3"/>
  <cols>
    <col min="1" max="1" width="9.109375" style="67"/>
    <col min="2" max="2" width="11.6640625" style="67" customWidth="1"/>
    <col min="3" max="3" width="39" style="72" customWidth="1"/>
    <col min="4" max="5" width="24.33203125" style="67" customWidth="1"/>
    <col min="6" max="6" width="15.6640625" style="67" customWidth="1"/>
    <col min="7" max="7" width="24.33203125" style="67" customWidth="1"/>
    <col min="8" max="16384" width="9.109375" style="67"/>
  </cols>
  <sheetData>
    <row r="1" spans="2:8" x14ac:dyDescent="0.3">
      <c r="B1" s="27"/>
      <c r="C1" s="27"/>
      <c r="D1" s="27"/>
      <c r="E1" s="27"/>
      <c r="F1" s="2"/>
      <c r="G1" s="2"/>
    </row>
    <row r="2" spans="2:8" x14ac:dyDescent="0.3">
      <c r="B2" s="135" t="s">
        <v>13</v>
      </c>
      <c r="C2" s="135"/>
      <c r="D2" s="135"/>
      <c r="E2" s="135"/>
      <c r="F2" s="135"/>
      <c r="G2" s="72"/>
    </row>
    <row r="3" spans="2:8" x14ac:dyDescent="0.3">
      <c r="B3" s="27"/>
      <c r="C3" s="27"/>
      <c r="D3" s="27"/>
      <c r="E3" s="27"/>
      <c r="F3" s="2"/>
      <c r="G3" s="2"/>
    </row>
    <row r="4" spans="2:8" x14ac:dyDescent="0.3">
      <c r="B4" s="140" t="s">
        <v>61</v>
      </c>
      <c r="C4" s="140"/>
      <c r="D4" s="140"/>
      <c r="E4" s="140"/>
      <c r="F4" s="140"/>
    </row>
    <row r="5" spans="2:8" x14ac:dyDescent="0.3">
      <c r="B5" s="27"/>
      <c r="C5" s="27"/>
      <c r="D5" s="27"/>
      <c r="E5" s="27"/>
      <c r="F5" s="2"/>
    </row>
    <row r="6" spans="2:8" ht="26.4" x14ac:dyDescent="0.3">
      <c r="B6" s="136" t="s">
        <v>8</v>
      </c>
      <c r="C6" s="138"/>
      <c r="D6" s="19" t="s">
        <v>163</v>
      </c>
      <c r="E6" s="19" t="s">
        <v>164</v>
      </c>
      <c r="F6" s="19" t="s">
        <v>162</v>
      </c>
      <c r="G6" s="19" t="s">
        <v>55</v>
      </c>
    </row>
    <row r="7" spans="2:8" x14ac:dyDescent="0.3">
      <c r="B7" s="136">
        <v>1</v>
      </c>
      <c r="C7" s="138"/>
      <c r="D7" s="19">
        <v>2</v>
      </c>
      <c r="E7" s="19">
        <v>3</v>
      </c>
      <c r="F7" s="19">
        <v>4</v>
      </c>
      <c r="G7" s="19" t="s">
        <v>165</v>
      </c>
    </row>
    <row r="8" spans="2:8" ht="39.6" x14ac:dyDescent="0.3">
      <c r="B8" s="101" t="s">
        <v>120</v>
      </c>
      <c r="C8" s="102" t="s">
        <v>121</v>
      </c>
      <c r="D8" s="97">
        <f t="shared" ref="D8:F9" si="0">D9</f>
        <v>15300000</v>
      </c>
      <c r="E8" s="97">
        <f t="shared" si="0"/>
        <v>15041000</v>
      </c>
      <c r="F8" s="97">
        <f t="shared" si="0"/>
        <v>14520570.229999999</v>
      </c>
      <c r="G8" s="98">
        <f t="shared" ref="G8:G13" si="1">(F8/D8*100)</f>
        <v>94.905687777777771</v>
      </c>
      <c r="H8" s="87"/>
    </row>
    <row r="9" spans="2:8" x14ac:dyDescent="0.3">
      <c r="B9" s="95">
        <v>22</v>
      </c>
      <c r="C9" s="96" t="s">
        <v>122</v>
      </c>
      <c r="D9" s="97">
        <f t="shared" si="0"/>
        <v>15300000</v>
      </c>
      <c r="E9" s="97">
        <f t="shared" si="0"/>
        <v>15041000</v>
      </c>
      <c r="F9" s="97">
        <f t="shared" si="0"/>
        <v>14520570.229999999</v>
      </c>
      <c r="G9" s="98">
        <f t="shared" si="1"/>
        <v>94.905687777777771</v>
      </c>
    </row>
    <row r="10" spans="2:8" ht="26.4" x14ac:dyDescent="0.3">
      <c r="B10" s="95">
        <v>2210</v>
      </c>
      <c r="C10" s="96" t="s">
        <v>133</v>
      </c>
      <c r="D10" s="97">
        <f>D11+D54+D105+D99+D116+D122+D127+D132+D138+D144</f>
        <v>15300000</v>
      </c>
      <c r="E10" s="97">
        <f>E11+E54+E105+E99+E116+E122+E127+E132+E138+E144</f>
        <v>15041000</v>
      </c>
      <c r="F10" s="97">
        <f>F11+F54+F105+F99+F116+F122+F127+F132+F138+F144</f>
        <v>14520570.229999999</v>
      </c>
      <c r="G10" s="98">
        <f t="shared" si="1"/>
        <v>94.905687777777771</v>
      </c>
    </row>
    <row r="11" spans="2:8" ht="39.6" x14ac:dyDescent="0.3">
      <c r="B11" s="95" t="s">
        <v>123</v>
      </c>
      <c r="C11" s="102" t="s">
        <v>134</v>
      </c>
      <c r="D11" s="97">
        <f>+D12+D47</f>
        <v>4083700</v>
      </c>
      <c r="E11" s="97">
        <f>+E12+E47</f>
        <v>3896700</v>
      </c>
      <c r="F11" s="97">
        <f>+F12+F47</f>
        <v>3795786.8799999994</v>
      </c>
      <c r="G11" s="98">
        <f t="shared" si="1"/>
        <v>92.949699537184401</v>
      </c>
      <c r="H11" s="87"/>
    </row>
    <row r="12" spans="2:8" x14ac:dyDescent="0.3">
      <c r="B12" s="95">
        <v>11</v>
      </c>
      <c r="C12" s="102" t="s">
        <v>135</v>
      </c>
      <c r="D12" s="97">
        <f>D13+D18+D41+D42+D43+D44</f>
        <v>4004700</v>
      </c>
      <c r="E12" s="97">
        <f>E13+E18+E41+E42+E43+E44</f>
        <v>3817700</v>
      </c>
      <c r="F12" s="97">
        <f>F13+F18+F41+F42+F43+F44</f>
        <v>3683016.7499999995</v>
      </c>
      <c r="G12" s="98">
        <f t="shared" si="1"/>
        <v>91.967357105401135</v>
      </c>
    </row>
    <row r="13" spans="2:8" x14ac:dyDescent="0.3">
      <c r="B13" s="23">
        <v>31</v>
      </c>
      <c r="C13" s="73" t="s">
        <v>5</v>
      </c>
      <c r="D13" s="69">
        <v>2868000</v>
      </c>
      <c r="E13" s="69">
        <v>2721000</v>
      </c>
      <c r="F13" s="69">
        <f>SUM(F14:F17)</f>
        <v>2701229.63</v>
      </c>
      <c r="G13" s="69">
        <f t="shared" si="1"/>
        <v>94.185133542538352</v>
      </c>
      <c r="H13" s="87"/>
    </row>
    <row r="14" spans="2:8" x14ac:dyDescent="0.3">
      <c r="B14" s="24">
        <v>3111</v>
      </c>
      <c r="C14" s="16" t="s">
        <v>36</v>
      </c>
      <c r="D14" s="69"/>
      <c r="E14" s="69"/>
      <c r="F14" s="69">
        <v>2229914.69</v>
      </c>
      <c r="G14" s="69"/>
    </row>
    <row r="15" spans="2:8" x14ac:dyDescent="0.3">
      <c r="B15" s="23">
        <v>3113</v>
      </c>
      <c r="C15" s="16" t="s">
        <v>75</v>
      </c>
      <c r="D15" s="69"/>
      <c r="E15" s="69"/>
      <c r="F15" s="69">
        <v>12326.86</v>
      </c>
      <c r="G15" s="69"/>
    </row>
    <row r="16" spans="2:8" x14ac:dyDescent="0.3">
      <c r="B16" s="23">
        <v>3121</v>
      </c>
      <c r="C16" s="16" t="s">
        <v>76</v>
      </c>
      <c r="D16" s="69"/>
      <c r="E16" s="69"/>
      <c r="F16" s="69">
        <v>140390.75</v>
      </c>
      <c r="G16" s="69"/>
    </row>
    <row r="17" spans="2:8" x14ac:dyDescent="0.3">
      <c r="B17" s="23">
        <v>3132</v>
      </c>
      <c r="C17" s="16" t="s">
        <v>78</v>
      </c>
      <c r="D17" s="69"/>
      <c r="E17" s="69"/>
      <c r="F17" s="69">
        <v>318597.33</v>
      </c>
      <c r="G17" s="69"/>
    </row>
    <row r="18" spans="2:8" x14ac:dyDescent="0.3">
      <c r="B18" s="23">
        <v>32</v>
      </c>
      <c r="C18" s="16" t="s">
        <v>15</v>
      </c>
      <c r="D18" s="69">
        <v>1024700</v>
      </c>
      <c r="E18" s="69">
        <v>998700</v>
      </c>
      <c r="F18" s="69">
        <f>SUM(F19:F40)</f>
        <v>908953.17999999993</v>
      </c>
      <c r="G18" s="69">
        <f>(F18/D18*100)</f>
        <v>88.704321264760409</v>
      </c>
      <c r="H18" s="87"/>
    </row>
    <row r="19" spans="2:8" x14ac:dyDescent="0.3">
      <c r="B19" s="24">
        <v>3211</v>
      </c>
      <c r="C19" s="16" t="s">
        <v>38</v>
      </c>
      <c r="D19" s="69"/>
      <c r="E19" s="69"/>
      <c r="F19" s="69">
        <v>13637.02</v>
      </c>
      <c r="G19" s="69"/>
    </row>
    <row r="20" spans="2:8" ht="26.4" x14ac:dyDescent="0.3">
      <c r="B20" s="24">
        <v>3212</v>
      </c>
      <c r="C20" s="16" t="s">
        <v>79</v>
      </c>
      <c r="D20" s="69"/>
      <c r="E20" s="69"/>
      <c r="F20" s="69">
        <v>23571.59</v>
      </c>
      <c r="G20" s="69"/>
    </row>
    <row r="21" spans="2:8" x14ac:dyDescent="0.3">
      <c r="B21" s="23">
        <v>3213</v>
      </c>
      <c r="C21" s="16" t="s">
        <v>80</v>
      </c>
      <c r="D21" s="69"/>
      <c r="E21" s="69"/>
      <c r="F21" s="69">
        <v>8444.43</v>
      </c>
      <c r="G21" s="69"/>
    </row>
    <row r="22" spans="2:8" x14ac:dyDescent="0.3">
      <c r="B22" s="23">
        <v>3221</v>
      </c>
      <c r="C22" s="16" t="s">
        <v>82</v>
      </c>
      <c r="D22" s="69"/>
      <c r="E22" s="69"/>
      <c r="F22" s="69">
        <v>28444.560000000001</v>
      </c>
      <c r="G22" s="69"/>
    </row>
    <row r="23" spans="2:8" x14ac:dyDescent="0.3">
      <c r="B23" s="23">
        <v>3223</v>
      </c>
      <c r="C23" s="16" t="s">
        <v>84</v>
      </c>
      <c r="D23" s="69"/>
      <c r="E23" s="69"/>
      <c r="F23" s="69">
        <v>17948.16</v>
      </c>
      <c r="G23" s="69"/>
    </row>
    <row r="24" spans="2:8" x14ac:dyDescent="0.3">
      <c r="B24" s="23">
        <v>3225</v>
      </c>
      <c r="C24" s="16" t="s">
        <v>85</v>
      </c>
      <c r="D24" s="69"/>
      <c r="E24" s="69"/>
      <c r="F24" s="69">
        <v>2141.27</v>
      </c>
      <c r="G24" s="69"/>
    </row>
    <row r="25" spans="2:8" x14ac:dyDescent="0.3">
      <c r="B25" s="23">
        <v>3227</v>
      </c>
      <c r="C25" s="16" t="s">
        <v>86</v>
      </c>
      <c r="D25" s="69"/>
      <c r="E25" s="69"/>
      <c r="F25" s="69">
        <v>1454.3</v>
      </c>
      <c r="G25" s="69"/>
    </row>
    <row r="26" spans="2:8" x14ac:dyDescent="0.3">
      <c r="B26" s="23">
        <v>3231</v>
      </c>
      <c r="C26" s="16" t="s">
        <v>88</v>
      </c>
      <c r="D26" s="69"/>
      <c r="E26" s="69"/>
      <c r="F26" s="69">
        <v>24185.96</v>
      </c>
      <c r="G26" s="69"/>
    </row>
    <row r="27" spans="2:8" x14ac:dyDescent="0.3">
      <c r="B27" s="23">
        <v>3232</v>
      </c>
      <c r="C27" s="16" t="s">
        <v>89</v>
      </c>
      <c r="D27" s="69"/>
      <c r="E27" s="69"/>
      <c r="F27" s="69">
        <v>70253.2</v>
      </c>
      <c r="G27" s="69"/>
    </row>
    <row r="28" spans="2:8" x14ac:dyDescent="0.3">
      <c r="B28" s="23">
        <v>3233</v>
      </c>
      <c r="C28" s="16" t="s">
        <v>90</v>
      </c>
      <c r="D28" s="69"/>
      <c r="E28" s="69"/>
      <c r="F28" s="69">
        <v>107108.44</v>
      </c>
      <c r="G28" s="69"/>
    </row>
    <row r="29" spans="2:8" x14ac:dyDescent="0.3">
      <c r="B29" s="23">
        <v>3234</v>
      </c>
      <c r="C29" s="16" t="s">
        <v>91</v>
      </c>
      <c r="D29" s="69"/>
      <c r="E29" s="69"/>
      <c r="F29" s="69">
        <v>83369.240000000005</v>
      </c>
      <c r="G29" s="69"/>
    </row>
    <row r="30" spans="2:8" x14ac:dyDescent="0.3">
      <c r="B30" s="23">
        <v>3235</v>
      </c>
      <c r="C30" s="16" t="s">
        <v>92</v>
      </c>
      <c r="D30" s="69"/>
      <c r="E30" s="69"/>
      <c r="F30" s="69">
        <v>268153.98</v>
      </c>
      <c r="G30" s="69"/>
    </row>
    <row r="31" spans="2:8" x14ac:dyDescent="0.3">
      <c r="B31" s="23">
        <v>3236</v>
      </c>
      <c r="C31" s="16" t="s">
        <v>93</v>
      </c>
      <c r="D31" s="69"/>
      <c r="E31" s="69"/>
      <c r="F31" s="69">
        <v>27430.01</v>
      </c>
      <c r="G31" s="69"/>
    </row>
    <row r="32" spans="2:8" x14ac:dyDescent="0.3">
      <c r="B32" s="23">
        <v>3237</v>
      </c>
      <c r="C32" s="16" t="s">
        <v>94</v>
      </c>
      <c r="D32" s="69"/>
      <c r="E32" s="69"/>
      <c r="F32" s="69">
        <v>108432.6</v>
      </c>
      <c r="G32" s="69"/>
    </row>
    <row r="33" spans="2:7" x14ac:dyDescent="0.3">
      <c r="B33" s="23">
        <v>3238</v>
      </c>
      <c r="C33" s="16" t="s">
        <v>95</v>
      </c>
      <c r="D33" s="69"/>
      <c r="E33" s="69"/>
      <c r="F33" s="69">
        <v>31735.71</v>
      </c>
      <c r="G33" s="69"/>
    </row>
    <row r="34" spans="2:7" x14ac:dyDescent="0.3">
      <c r="B34" s="23">
        <v>3239</v>
      </c>
      <c r="C34" s="16" t="s">
        <v>96</v>
      </c>
      <c r="D34" s="69"/>
      <c r="E34" s="69"/>
      <c r="F34" s="69">
        <v>57893.64</v>
      </c>
      <c r="G34" s="69"/>
    </row>
    <row r="35" spans="2:7" ht="26.4" x14ac:dyDescent="0.3">
      <c r="B35" s="23">
        <v>3291</v>
      </c>
      <c r="C35" s="16" t="s">
        <v>99</v>
      </c>
      <c r="D35" s="69"/>
      <c r="E35" s="69"/>
      <c r="F35" s="69">
        <v>570.71</v>
      </c>
      <c r="G35" s="69"/>
    </row>
    <row r="36" spans="2:7" x14ac:dyDescent="0.3">
      <c r="B36" s="23">
        <v>3292</v>
      </c>
      <c r="C36" s="16" t="s">
        <v>148</v>
      </c>
      <c r="D36" s="69"/>
      <c r="E36" s="69"/>
      <c r="F36" s="69">
        <v>375.56</v>
      </c>
      <c r="G36" s="69"/>
    </row>
    <row r="37" spans="2:7" x14ac:dyDescent="0.3">
      <c r="B37" s="23">
        <v>3293</v>
      </c>
      <c r="C37" s="16" t="s">
        <v>100</v>
      </c>
      <c r="D37" s="69"/>
      <c r="E37" s="69"/>
      <c r="F37" s="69">
        <v>6699.73</v>
      </c>
      <c r="G37" s="69"/>
    </row>
    <row r="38" spans="2:7" x14ac:dyDescent="0.3">
      <c r="B38" s="23">
        <v>3294</v>
      </c>
      <c r="C38" s="16" t="s">
        <v>101</v>
      </c>
      <c r="D38" s="69"/>
      <c r="E38" s="69"/>
      <c r="F38" s="69">
        <v>241.38</v>
      </c>
      <c r="G38" s="69"/>
    </row>
    <row r="39" spans="2:7" x14ac:dyDescent="0.3">
      <c r="B39" s="23">
        <v>3295</v>
      </c>
      <c r="C39" s="16" t="s">
        <v>102</v>
      </c>
      <c r="D39" s="69"/>
      <c r="E39" s="69"/>
      <c r="F39" s="69">
        <v>13036.15</v>
      </c>
      <c r="G39" s="69"/>
    </row>
    <row r="40" spans="2:7" x14ac:dyDescent="0.3">
      <c r="B40" s="23">
        <v>3299</v>
      </c>
      <c r="C40" s="16" t="s">
        <v>98</v>
      </c>
      <c r="D40" s="69"/>
      <c r="E40" s="69"/>
      <c r="F40" s="69">
        <v>13825.54</v>
      </c>
      <c r="G40" s="69"/>
    </row>
    <row r="41" spans="2:7" x14ac:dyDescent="0.3">
      <c r="B41" s="23">
        <v>34</v>
      </c>
      <c r="C41" s="16" t="s">
        <v>103</v>
      </c>
      <c r="D41" s="69">
        <v>3000</v>
      </c>
      <c r="E41" s="69">
        <v>2000</v>
      </c>
      <c r="F41" s="69">
        <v>1120.44</v>
      </c>
      <c r="G41" s="69">
        <f>(F41/D41*100)</f>
        <v>37.348000000000006</v>
      </c>
    </row>
    <row r="42" spans="2:7" ht="26.4" x14ac:dyDescent="0.3">
      <c r="B42" s="23">
        <v>37</v>
      </c>
      <c r="C42" s="16" t="s">
        <v>106</v>
      </c>
      <c r="D42" s="69">
        <v>40000</v>
      </c>
      <c r="E42" s="69">
        <v>40000</v>
      </c>
      <c r="F42" s="69">
        <v>18075.560000000001</v>
      </c>
      <c r="G42" s="69">
        <f>(F42/D42*100)</f>
        <v>45.188900000000004</v>
      </c>
    </row>
    <row r="43" spans="2:7" ht="26.4" x14ac:dyDescent="0.3">
      <c r="B43" s="23">
        <v>41</v>
      </c>
      <c r="C43" s="12" t="s">
        <v>7</v>
      </c>
      <c r="D43" s="69">
        <v>500</v>
      </c>
      <c r="E43" s="69">
        <v>500</v>
      </c>
      <c r="F43" s="69">
        <v>0</v>
      </c>
      <c r="G43" s="69">
        <f>(F43/D43*100)</f>
        <v>0</v>
      </c>
    </row>
    <row r="44" spans="2:7" ht="26.4" x14ac:dyDescent="0.3">
      <c r="B44" s="23">
        <v>42</v>
      </c>
      <c r="C44" s="12" t="s">
        <v>111</v>
      </c>
      <c r="D44" s="69">
        <v>68500</v>
      </c>
      <c r="E44" s="69">
        <v>55500</v>
      </c>
      <c r="F44" s="69">
        <f>SUM(F45:F46)</f>
        <v>53637.94</v>
      </c>
      <c r="G44" s="69">
        <f>(F44/D44*100)</f>
        <v>78.303562043795623</v>
      </c>
    </row>
    <row r="45" spans="2:7" x14ac:dyDescent="0.3">
      <c r="B45" s="23">
        <v>4221</v>
      </c>
      <c r="C45" s="16" t="s">
        <v>113</v>
      </c>
      <c r="D45" s="69"/>
      <c r="E45" s="69"/>
      <c r="F45" s="69">
        <v>37335.1</v>
      </c>
      <c r="G45" s="69"/>
    </row>
    <row r="46" spans="2:7" x14ac:dyDescent="0.3">
      <c r="B46" s="23">
        <v>4222</v>
      </c>
      <c r="C46" s="16" t="s">
        <v>114</v>
      </c>
      <c r="D46" s="69"/>
      <c r="E46" s="69"/>
      <c r="F46" s="69">
        <v>16302.84</v>
      </c>
      <c r="G46" s="69"/>
    </row>
    <row r="47" spans="2:7" x14ac:dyDescent="0.3">
      <c r="B47" s="95">
        <v>31</v>
      </c>
      <c r="C47" s="99" t="s">
        <v>136</v>
      </c>
      <c r="D47" s="100">
        <f t="shared" ref="D47:F47" si="2">D48</f>
        <v>79000</v>
      </c>
      <c r="E47" s="100">
        <f t="shared" si="2"/>
        <v>79000</v>
      </c>
      <c r="F47" s="100">
        <f t="shared" si="2"/>
        <v>112770.13</v>
      </c>
      <c r="G47" s="98">
        <f>(F47/D47*100)</f>
        <v>142.74700000000001</v>
      </c>
    </row>
    <row r="48" spans="2:7" x14ac:dyDescent="0.3">
      <c r="B48" s="23">
        <v>32</v>
      </c>
      <c r="C48" s="16" t="s">
        <v>15</v>
      </c>
      <c r="D48" s="75">
        <v>79000</v>
      </c>
      <c r="E48" s="75">
        <v>79000</v>
      </c>
      <c r="F48" s="75">
        <f>SUM(F49:F53)</f>
        <v>112770.13</v>
      </c>
      <c r="G48" s="69">
        <f>(F48/D48*100)</f>
        <v>142.74700000000001</v>
      </c>
    </row>
    <row r="49" spans="2:8" x14ac:dyDescent="0.3">
      <c r="B49" s="23">
        <v>3222</v>
      </c>
      <c r="C49" s="73" t="s">
        <v>83</v>
      </c>
      <c r="D49" s="75"/>
      <c r="E49" s="75"/>
      <c r="F49" s="75">
        <f>12607.78-169.45</f>
        <v>12438.33</v>
      </c>
      <c r="G49" s="69"/>
    </row>
    <row r="50" spans="2:8" x14ac:dyDescent="0.3">
      <c r="B50" s="23">
        <v>3233</v>
      </c>
      <c r="C50" s="73" t="s">
        <v>90</v>
      </c>
      <c r="D50" s="75"/>
      <c r="E50" s="75"/>
      <c r="F50" s="75">
        <v>49818.75</v>
      </c>
      <c r="G50" s="69"/>
    </row>
    <row r="51" spans="2:8" x14ac:dyDescent="0.3">
      <c r="B51" s="23">
        <v>3235</v>
      </c>
      <c r="C51" s="73" t="s">
        <v>92</v>
      </c>
      <c r="D51" s="75"/>
      <c r="E51" s="75"/>
      <c r="F51" s="75">
        <v>4750</v>
      </c>
      <c r="G51" s="69"/>
    </row>
    <row r="52" spans="2:8" x14ac:dyDescent="0.3">
      <c r="B52" s="23">
        <v>3239</v>
      </c>
      <c r="C52" s="73" t="s">
        <v>96</v>
      </c>
      <c r="D52" s="75"/>
      <c r="E52" s="75"/>
      <c r="F52" s="75">
        <v>1893.75</v>
      </c>
      <c r="G52" s="69"/>
    </row>
    <row r="53" spans="2:8" x14ac:dyDescent="0.3">
      <c r="B53" s="23">
        <v>3293</v>
      </c>
      <c r="C53" s="73" t="s">
        <v>100</v>
      </c>
      <c r="D53" s="75"/>
      <c r="E53" s="75"/>
      <c r="F53" s="75">
        <v>43869.3</v>
      </c>
      <c r="G53" s="69"/>
    </row>
    <row r="54" spans="2:8" ht="26.4" x14ac:dyDescent="0.3">
      <c r="B54" s="95" t="s">
        <v>124</v>
      </c>
      <c r="C54" s="96" t="s">
        <v>137</v>
      </c>
      <c r="D54" s="97">
        <f t="shared" ref="D54:F54" si="3">D55+D77</f>
        <v>10581300</v>
      </c>
      <c r="E54" s="97">
        <f t="shared" ref="E54" si="4">E55+E77</f>
        <v>10509300</v>
      </c>
      <c r="F54" s="97">
        <f t="shared" si="3"/>
        <v>10056001.17</v>
      </c>
      <c r="G54" s="98">
        <f>(F54/D54*100)</f>
        <v>95.035592696549571</v>
      </c>
    </row>
    <row r="55" spans="2:8" x14ac:dyDescent="0.3">
      <c r="B55" s="95">
        <v>12</v>
      </c>
      <c r="C55" s="96" t="s">
        <v>138</v>
      </c>
      <c r="D55" s="98">
        <f>D56+D61+D75+D76</f>
        <v>1596300</v>
      </c>
      <c r="E55" s="98">
        <f>E56+E61+E75+E76</f>
        <v>1524300</v>
      </c>
      <c r="F55" s="98">
        <f>F56+F61+F75+F76</f>
        <v>1512693.39</v>
      </c>
      <c r="G55" s="98">
        <f>(F55/D55*100)</f>
        <v>94.762475098665661</v>
      </c>
    </row>
    <row r="56" spans="2:8" x14ac:dyDescent="0.3">
      <c r="B56" s="23">
        <v>31</v>
      </c>
      <c r="C56" s="73" t="s">
        <v>5</v>
      </c>
      <c r="D56" s="69">
        <v>1239000</v>
      </c>
      <c r="E56" s="69">
        <v>1171000</v>
      </c>
      <c r="F56" s="69">
        <f>SUM(F57:F60)</f>
        <v>1169405.1700000002</v>
      </c>
      <c r="G56" s="69">
        <f>(F56/D56*100)</f>
        <v>94.382983857949981</v>
      </c>
      <c r="H56" s="87"/>
    </row>
    <row r="57" spans="2:8" x14ac:dyDescent="0.3">
      <c r="B57" s="23">
        <v>3111</v>
      </c>
      <c r="C57" s="16" t="s">
        <v>36</v>
      </c>
      <c r="D57" s="69"/>
      <c r="E57" s="69"/>
      <c r="F57" s="69">
        <v>992530.05</v>
      </c>
      <c r="G57" s="69"/>
    </row>
    <row r="58" spans="2:8" x14ac:dyDescent="0.3">
      <c r="B58" s="23">
        <v>3113</v>
      </c>
      <c r="C58" s="16" t="s">
        <v>75</v>
      </c>
      <c r="D58" s="69"/>
      <c r="E58" s="69"/>
      <c r="F58" s="69">
        <v>4926.05</v>
      </c>
      <c r="G58" s="69"/>
    </row>
    <row r="59" spans="2:8" x14ac:dyDescent="0.3">
      <c r="B59" s="23">
        <v>3121</v>
      </c>
      <c r="C59" s="16" t="s">
        <v>76</v>
      </c>
      <c r="D59" s="69"/>
      <c r="E59" s="69"/>
      <c r="F59" s="69">
        <v>29996.560000000001</v>
      </c>
      <c r="G59" s="69"/>
    </row>
    <row r="60" spans="2:8" x14ac:dyDescent="0.3">
      <c r="B60" s="23">
        <v>3132</v>
      </c>
      <c r="C60" s="16" t="s">
        <v>78</v>
      </c>
      <c r="D60" s="69"/>
      <c r="E60" s="69"/>
      <c r="F60" s="69">
        <v>141952.51</v>
      </c>
      <c r="G60" s="69"/>
    </row>
    <row r="61" spans="2:8" x14ac:dyDescent="0.3">
      <c r="B61" s="23">
        <v>32</v>
      </c>
      <c r="C61" s="16" t="s">
        <v>15</v>
      </c>
      <c r="D61" s="69">
        <v>301800</v>
      </c>
      <c r="E61" s="69">
        <v>301800</v>
      </c>
      <c r="F61" s="69">
        <f>SUM(F62:F74)</f>
        <v>296636.82999999996</v>
      </c>
      <c r="G61" s="69">
        <f>(F61/D61*100)</f>
        <v>98.289208084824381</v>
      </c>
    </row>
    <row r="62" spans="2:8" x14ac:dyDescent="0.3">
      <c r="B62" s="23">
        <v>3211</v>
      </c>
      <c r="C62" s="16" t="s">
        <v>38</v>
      </c>
      <c r="D62" s="69"/>
      <c r="E62" s="69"/>
      <c r="F62" s="69">
        <v>20045.060000000001</v>
      </c>
      <c r="G62" s="69"/>
    </row>
    <row r="63" spans="2:8" ht="26.4" x14ac:dyDescent="0.3">
      <c r="B63" s="23">
        <v>3212</v>
      </c>
      <c r="C63" s="16" t="s">
        <v>79</v>
      </c>
      <c r="D63" s="69"/>
      <c r="E63" s="69"/>
      <c r="F63" s="69">
        <v>26391.439999999999</v>
      </c>
      <c r="G63" s="69"/>
    </row>
    <row r="64" spans="2:8" x14ac:dyDescent="0.3">
      <c r="B64" s="23">
        <v>3213</v>
      </c>
      <c r="C64" s="16" t="s">
        <v>80</v>
      </c>
      <c r="D64" s="69"/>
      <c r="E64" s="69"/>
      <c r="F64" s="69">
        <v>14188.13</v>
      </c>
      <c r="G64" s="69"/>
    </row>
    <row r="65" spans="2:8" x14ac:dyDescent="0.3">
      <c r="B65" s="23">
        <v>3221</v>
      </c>
      <c r="C65" s="16" t="s">
        <v>82</v>
      </c>
      <c r="D65" s="69"/>
      <c r="E65" s="69"/>
      <c r="F65" s="69">
        <v>6428.98</v>
      </c>
      <c r="G65" s="69"/>
    </row>
    <row r="66" spans="2:8" x14ac:dyDescent="0.3">
      <c r="B66" s="23">
        <v>3223</v>
      </c>
      <c r="C66" s="16" t="s">
        <v>84</v>
      </c>
      <c r="D66" s="69"/>
      <c r="E66" s="69"/>
      <c r="F66" s="69">
        <v>11876.55</v>
      </c>
      <c r="G66" s="69"/>
    </row>
    <row r="67" spans="2:8" x14ac:dyDescent="0.3">
      <c r="B67" s="23">
        <v>3231</v>
      </c>
      <c r="C67" s="16" t="s">
        <v>88</v>
      </c>
      <c r="D67" s="69"/>
      <c r="E67" s="69"/>
      <c r="F67" s="69">
        <v>5914.38</v>
      </c>
      <c r="G67" s="69"/>
    </row>
    <row r="68" spans="2:8" x14ac:dyDescent="0.3">
      <c r="B68" s="23">
        <v>3233</v>
      </c>
      <c r="C68" s="16" t="s">
        <v>90</v>
      </c>
      <c r="D68" s="69"/>
      <c r="E68" s="69"/>
      <c r="F68" s="69">
        <v>28480.04</v>
      </c>
      <c r="G68" s="69"/>
    </row>
    <row r="69" spans="2:8" x14ac:dyDescent="0.3">
      <c r="B69" s="23">
        <v>3234</v>
      </c>
      <c r="C69" s="16" t="s">
        <v>91</v>
      </c>
      <c r="D69" s="69"/>
      <c r="E69" s="69"/>
      <c r="F69" s="69">
        <v>37838.82</v>
      </c>
      <c r="G69" s="69"/>
    </row>
    <row r="70" spans="2:8" x14ac:dyDescent="0.3">
      <c r="B70" s="23">
        <v>3235</v>
      </c>
      <c r="C70" s="16" t="s">
        <v>92</v>
      </c>
      <c r="D70" s="69"/>
      <c r="E70" s="69"/>
      <c r="F70" s="69">
        <v>128202.22</v>
      </c>
      <c r="G70" s="69"/>
    </row>
    <row r="71" spans="2:8" x14ac:dyDescent="0.3">
      <c r="B71" s="23">
        <v>3237</v>
      </c>
      <c r="C71" s="16" t="s">
        <v>94</v>
      </c>
      <c r="D71" s="69"/>
      <c r="E71" s="69"/>
      <c r="F71" s="69">
        <v>7149.36</v>
      </c>
      <c r="G71" s="69"/>
    </row>
    <row r="72" spans="2:8" x14ac:dyDescent="0.3">
      <c r="B72" s="23">
        <v>3238</v>
      </c>
      <c r="C72" s="16" t="s">
        <v>95</v>
      </c>
      <c r="D72" s="69"/>
      <c r="E72" s="69"/>
      <c r="F72" s="69">
        <v>1887.3</v>
      </c>
      <c r="G72" s="69"/>
    </row>
    <row r="73" spans="2:8" x14ac:dyDescent="0.3">
      <c r="B73" s="23">
        <v>3239</v>
      </c>
      <c r="C73" s="16" t="s">
        <v>96</v>
      </c>
      <c r="D73" s="69"/>
      <c r="E73" s="69"/>
      <c r="F73" s="69">
        <v>8191.43</v>
      </c>
      <c r="G73" s="69"/>
    </row>
    <row r="74" spans="2:8" x14ac:dyDescent="0.3">
      <c r="B74" s="23">
        <v>3293</v>
      </c>
      <c r="C74" s="16" t="s">
        <v>100</v>
      </c>
      <c r="D74" s="69"/>
      <c r="E74" s="69"/>
      <c r="F74" s="69">
        <v>43.12</v>
      </c>
      <c r="G74" s="69"/>
    </row>
    <row r="75" spans="2:8" ht="26.4" x14ac:dyDescent="0.3">
      <c r="B75" s="23">
        <v>41</v>
      </c>
      <c r="C75" s="12" t="s">
        <v>7</v>
      </c>
      <c r="D75" s="69">
        <v>8000</v>
      </c>
      <c r="E75" s="69">
        <v>5000</v>
      </c>
      <c r="F75" s="69">
        <v>1109.97</v>
      </c>
      <c r="G75" s="69">
        <f>(F75/D75*100)</f>
        <v>13.874625000000002</v>
      </c>
    </row>
    <row r="76" spans="2:8" ht="26.4" x14ac:dyDescent="0.3">
      <c r="B76" s="23">
        <v>42</v>
      </c>
      <c r="C76" s="16" t="s">
        <v>111</v>
      </c>
      <c r="D76" s="69">
        <v>47500</v>
      </c>
      <c r="E76" s="69">
        <v>46500</v>
      </c>
      <c r="F76" s="69">
        <v>45541.42</v>
      </c>
      <c r="G76" s="69">
        <f>(F76/D76*100)</f>
        <v>95.876673684210516</v>
      </c>
    </row>
    <row r="77" spans="2:8" x14ac:dyDescent="0.3">
      <c r="B77" s="95">
        <v>563</v>
      </c>
      <c r="C77" s="99" t="s">
        <v>139</v>
      </c>
      <c r="D77" s="97">
        <f>D78+D83+D97+D98</f>
        <v>8985000</v>
      </c>
      <c r="E77" s="97">
        <f>E78+E83+E97+E98</f>
        <v>8985000</v>
      </c>
      <c r="F77" s="97">
        <f>F78+F83+F97+F98</f>
        <v>8543307.7799999993</v>
      </c>
      <c r="G77" s="98">
        <f>(F77/D77*100)</f>
        <v>95.084115525876456</v>
      </c>
    </row>
    <row r="78" spans="2:8" x14ac:dyDescent="0.3">
      <c r="B78" s="23">
        <v>31</v>
      </c>
      <c r="C78" s="73" t="s">
        <v>5</v>
      </c>
      <c r="D78" s="69">
        <v>6879000</v>
      </c>
      <c r="E78" s="69">
        <v>6879000</v>
      </c>
      <c r="F78" s="69">
        <f>SUM(F79:F82)</f>
        <v>6626629.5299999993</v>
      </c>
      <c r="G78" s="69">
        <f>(F78/D78*100)</f>
        <v>96.331291321412976</v>
      </c>
      <c r="H78" s="87"/>
    </row>
    <row r="79" spans="2:8" x14ac:dyDescent="0.3">
      <c r="B79" s="23">
        <v>3111</v>
      </c>
      <c r="C79" s="16" t="s">
        <v>36</v>
      </c>
      <c r="D79" s="69"/>
      <c r="E79" s="69"/>
      <c r="F79" s="69">
        <v>5624337.0899999999</v>
      </c>
      <c r="G79" s="69"/>
    </row>
    <row r="80" spans="2:8" x14ac:dyDescent="0.3">
      <c r="B80" s="23">
        <v>3113</v>
      </c>
      <c r="C80" s="16" t="s">
        <v>75</v>
      </c>
      <c r="D80" s="69"/>
      <c r="E80" s="69"/>
      <c r="F80" s="69">
        <v>27914.29</v>
      </c>
      <c r="G80" s="69"/>
    </row>
    <row r="81" spans="2:8" x14ac:dyDescent="0.3">
      <c r="B81" s="23">
        <v>3121</v>
      </c>
      <c r="C81" s="16" t="s">
        <v>76</v>
      </c>
      <c r="D81" s="69"/>
      <c r="E81" s="69"/>
      <c r="F81" s="69">
        <v>169980.55</v>
      </c>
      <c r="G81" s="69"/>
    </row>
    <row r="82" spans="2:8" x14ac:dyDescent="0.3">
      <c r="B82" s="23">
        <v>3132</v>
      </c>
      <c r="C82" s="16" t="s">
        <v>78</v>
      </c>
      <c r="D82" s="69"/>
      <c r="E82" s="69"/>
      <c r="F82" s="69">
        <v>804397.6</v>
      </c>
      <c r="G82" s="69"/>
    </row>
    <row r="83" spans="2:8" x14ac:dyDescent="0.3">
      <c r="B83" s="23">
        <v>32</v>
      </c>
      <c r="C83" s="16" t="s">
        <v>15</v>
      </c>
      <c r="D83" s="69">
        <v>1801000</v>
      </c>
      <c r="E83" s="69">
        <v>1801000</v>
      </c>
      <c r="F83" s="69">
        <f>SUM(F84:F96)</f>
        <v>1652320.38</v>
      </c>
      <c r="G83" s="69">
        <f>(F83/D83*100)</f>
        <v>91.744607440310929</v>
      </c>
      <c r="H83" s="87"/>
    </row>
    <row r="84" spans="2:8" x14ac:dyDescent="0.3">
      <c r="B84" s="23">
        <v>3211</v>
      </c>
      <c r="C84" s="16" t="s">
        <v>38</v>
      </c>
      <c r="D84" s="69"/>
      <c r="E84" s="69"/>
      <c r="F84" s="69">
        <v>113595.68</v>
      </c>
      <c r="G84" s="69"/>
    </row>
    <row r="85" spans="2:8" ht="26.4" x14ac:dyDescent="0.3">
      <c r="B85" s="23">
        <v>3212</v>
      </c>
      <c r="C85" s="16" t="s">
        <v>79</v>
      </c>
      <c r="D85" s="69"/>
      <c r="E85" s="69"/>
      <c r="F85" s="69">
        <v>149551.51999999999</v>
      </c>
      <c r="G85" s="69"/>
    </row>
    <row r="86" spans="2:8" x14ac:dyDescent="0.3">
      <c r="B86" s="23">
        <v>3213</v>
      </c>
      <c r="C86" s="16" t="s">
        <v>80</v>
      </c>
      <c r="D86" s="69"/>
      <c r="E86" s="69"/>
      <c r="F86" s="69">
        <v>80399.44</v>
      </c>
      <c r="G86" s="69"/>
    </row>
    <row r="87" spans="2:8" x14ac:dyDescent="0.3">
      <c r="B87" s="23">
        <v>3221</v>
      </c>
      <c r="C87" s="16" t="s">
        <v>82</v>
      </c>
      <c r="D87" s="69"/>
      <c r="E87" s="69"/>
      <c r="F87" s="69">
        <v>36431.07</v>
      </c>
      <c r="G87" s="69"/>
    </row>
    <row r="88" spans="2:8" x14ac:dyDescent="0.3">
      <c r="B88" s="23">
        <v>3223</v>
      </c>
      <c r="C88" s="16" t="s">
        <v>84</v>
      </c>
      <c r="D88" s="69"/>
      <c r="E88" s="69"/>
      <c r="F88" s="69">
        <v>67300.39</v>
      </c>
      <c r="G88" s="69"/>
    </row>
    <row r="89" spans="2:8" x14ac:dyDescent="0.3">
      <c r="B89" s="23">
        <v>3231</v>
      </c>
      <c r="C89" s="16" t="s">
        <v>88</v>
      </c>
      <c r="D89" s="69"/>
      <c r="E89" s="69"/>
      <c r="F89" s="69">
        <v>33515.1</v>
      </c>
      <c r="G89" s="69"/>
    </row>
    <row r="90" spans="2:8" x14ac:dyDescent="0.3">
      <c r="B90" s="23">
        <v>3233</v>
      </c>
      <c r="C90" s="16" t="s">
        <v>90</v>
      </c>
      <c r="D90" s="69"/>
      <c r="E90" s="69"/>
      <c r="F90" s="69">
        <v>161386.97</v>
      </c>
      <c r="G90" s="69"/>
    </row>
    <row r="91" spans="2:8" x14ac:dyDescent="0.3">
      <c r="B91" s="23">
        <v>3234</v>
      </c>
      <c r="C91" s="16" t="s">
        <v>91</v>
      </c>
      <c r="D91" s="69"/>
      <c r="E91" s="69"/>
      <c r="F91" s="69">
        <v>214419.8</v>
      </c>
      <c r="G91" s="69"/>
    </row>
    <row r="92" spans="2:8" x14ac:dyDescent="0.3">
      <c r="B92" s="23">
        <v>3235</v>
      </c>
      <c r="C92" s="16" t="s">
        <v>92</v>
      </c>
      <c r="D92" s="69"/>
      <c r="E92" s="69"/>
      <c r="F92" s="69">
        <v>697850.34</v>
      </c>
      <c r="G92" s="69"/>
    </row>
    <row r="93" spans="2:8" x14ac:dyDescent="0.3">
      <c r="B93" s="23">
        <v>3237</v>
      </c>
      <c r="C93" s="16" t="s">
        <v>94</v>
      </c>
      <c r="D93" s="69"/>
      <c r="E93" s="69"/>
      <c r="F93" s="69">
        <v>40512.81</v>
      </c>
      <c r="G93" s="69"/>
    </row>
    <row r="94" spans="2:8" x14ac:dyDescent="0.3">
      <c r="B94" s="23">
        <v>3238</v>
      </c>
      <c r="C94" s="16" t="s">
        <v>95</v>
      </c>
      <c r="D94" s="69"/>
      <c r="E94" s="69"/>
      <c r="F94" s="69">
        <v>10694.74</v>
      </c>
      <c r="G94" s="69"/>
    </row>
    <row r="95" spans="2:8" x14ac:dyDescent="0.3">
      <c r="B95" s="23">
        <v>3239</v>
      </c>
      <c r="C95" s="16" t="s">
        <v>96</v>
      </c>
      <c r="D95" s="69"/>
      <c r="E95" s="69"/>
      <c r="F95" s="69">
        <v>46418.14</v>
      </c>
      <c r="G95" s="69"/>
    </row>
    <row r="96" spans="2:8" x14ac:dyDescent="0.3">
      <c r="B96" s="23">
        <v>3293</v>
      </c>
      <c r="C96" s="16" t="s">
        <v>100</v>
      </c>
      <c r="D96" s="69"/>
      <c r="E96" s="69"/>
      <c r="F96" s="69">
        <v>244.38</v>
      </c>
      <c r="G96" s="69"/>
    </row>
    <row r="97" spans="2:7" ht="26.4" x14ac:dyDescent="0.3">
      <c r="B97" s="23">
        <v>41</v>
      </c>
      <c r="C97" s="12" t="s">
        <v>7</v>
      </c>
      <c r="D97" s="69">
        <v>44000</v>
      </c>
      <c r="E97" s="69">
        <v>44000</v>
      </c>
      <c r="F97" s="69">
        <v>6289.83</v>
      </c>
      <c r="G97" s="69">
        <f>(F97/D97*100)</f>
        <v>14.295068181818182</v>
      </c>
    </row>
    <row r="98" spans="2:7" ht="26.4" x14ac:dyDescent="0.3">
      <c r="B98" s="23">
        <v>42</v>
      </c>
      <c r="C98" s="16" t="s">
        <v>111</v>
      </c>
      <c r="D98" s="69">
        <v>261000</v>
      </c>
      <c r="E98" s="69">
        <v>261000</v>
      </c>
      <c r="F98" s="69">
        <v>258068.04</v>
      </c>
      <c r="G98" s="69">
        <f>(F98/D98*100)</f>
        <v>98.876643678160931</v>
      </c>
    </row>
    <row r="99" spans="2:7" ht="26.4" x14ac:dyDescent="0.3">
      <c r="B99" s="95" t="s">
        <v>125</v>
      </c>
      <c r="C99" s="96" t="s">
        <v>140</v>
      </c>
      <c r="D99" s="97">
        <f>D100</f>
        <v>141000</v>
      </c>
      <c r="E99" s="97">
        <f>E100</f>
        <v>141000</v>
      </c>
      <c r="F99" s="97">
        <f>F100</f>
        <v>155033.09999999998</v>
      </c>
      <c r="G99" s="98">
        <f>(F99/D99*100)</f>
        <v>109.95255319148936</v>
      </c>
    </row>
    <row r="100" spans="2:7" x14ac:dyDescent="0.3">
      <c r="B100" s="95">
        <v>31</v>
      </c>
      <c r="C100" s="96" t="s">
        <v>136</v>
      </c>
      <c r="D100" s="97">
        <f>+D101</f>
        <v>141000</v>
      </c>
      <c r="E100" s="97">
        <f>+E101</f>
        <v>141000</v>
      </c>
      <c r="F100" s="97">
        <f>+F101</f>
        <v>155033.09999999998</v>
      </c>
      <c r="G100" s="98">
        <f>(F100/D100*100)</f>
        <v>109.95255319148936</v>
      </c>
    </row>
    <row r="101" spans="2:7" x14ac:dyDescent="0.3">
      <c r="B101" s="23">
        <v>32</v>
      </c>
      <c r="C101" s="73" t="s">
        <v>15</v>
      </c>
      <c r="D101" s="69">
        <v>141000</v>
      </c>
      <c r="E101" s="69">
        <v>141000</v>
      </c>
      <c r="F101" s="69">
        <f>SUM(F102:F104)</f>
        <v>155033.09999999998</v>
      </c>
      <c r="G101" s="69">
        <f>(F101/D101*100)</f>
        <v>109.95255319148936</v>
      </c>
    </row>
    <row r="102" spans="2:7" x14ac:dyDescent="0.3">
      <c r="B102" s="23">
        <v>3211</v>
      </c>
      <c r="C102" s="73" t="s">
        <v>38</v>
      </c>
      <c r="D102" s="69"/>
      <c r="E102" s="69"/>
      <c r="F102" s="69">
        <v>1815.05</v>
      </c>
      <c r="G102" s="69"/>
    </row>
    <row r="103" spans="2:7" x14ac:dyDescent="0.3">
      <c r="B103" s="23">
        <v>3237</v>
      </c>
      <c r="C103" s="73" t="s">
        <v>94</v>
      </c>
      <c r="D103" s="69"/>
      <c r="E103" s="69"/>
      <c r="F103" s="69">
        <v>137929.78</v>
      </c>
      <c r="G103" s="69"/>
    </row>
    <row r="104" spans="2:7" ht="26.4" x14ac:dyDescent="0.3">
      <c r="B104" s="23">
        <v>3241</v>
      </c>
      <c r="C104" s="73" t="s">
        <v>97</v>
      </c>
      <c r="D104" s="69"/>
      <c r="E104" s="69"/>
      <c r="F104" s="69">
        <v>15288.27</v>
      </c>
      <c r="G104" s="69"/>
    </row>
    <row r="105" spans="2:7" ht="39.6" x14ac:dyDescent="0.3">
      <c r="B105" s="95" t="s">
        <v>126</v>
      </c>
      <c r="C105" s="96" t="s">
        <v>141</v>
      </c>
      <c r="D105" s="97">
        <f>D106</f>
        <v>275000</v>
      </c>
      <c r="E105" s="97">
        <f>E106</f>
        <v>275000</v>
      </c>
      <c r="F105" s="97">
        <f>F106</f>
        <v>277833.17999999993</v>
      </c>
      <c r="G105" s="98">
        <f>(F105/D105*100)</f>
        <v>101.03024727272725</v>
      </c>
    </row>
    <row r="106" spans="2:7" x14ac:dyDescent="0.3">
      <c r="B106" s="95">
        <v>31</v>
      </c>
      <c r="C106" s="96" t="s">
        <v>136</v>
      </c>
      <c r="D106" s="97">
        <f t="shared" ref="D106:F106" si="5">D107+D110</f>
        <v>275000</v>
      </c>
      <c r="E106" s="97">
        <f t="shared" ref="E106" si="6">E107+E110</f>
        <v>275000</v>
      </c>
      <c r="F106" s="97">
        <f t="shared" si="5"/>
        <v>277833.17999999993</v>
      </c>
      <c r="G106" s="98">
        <f>(F106/D106*100)</f>
        <v>101.03024727272725</v>
      </c>
    </row>
    <row r="107" spans="2:7" x14ac:dyDescent="0.3">
      <c r="B107" s="23">
        <v>31</v>
      </c>
      <c r="C107" s="73" t="s">
        <v>5</v>
      </c>
      <c r="D107" s="74">
        <v>31000</v>
      </c>
      <c r="E107" s="74">
        <v>31000</v>
      </c>
      <c r="F107" s="74">
        <f t="shared" ref="F107" si="7">SUM(F108:F109)</f>
        <v>26589.72</v>
      </c>
      <c r="G107" s="69">
        <f>(F107/D107*100)</f>
        <v>85.77329032258065</v>
      </c>
    </row>
    <row r="108" spans="2:7" x14ac:dyDescent="0.3">
      <c r="B108" s="23">
        <v>3111</v>
      </c>
      <c r="C108" s="73" t="s">
        <v>36</v>
      </c>
      <c r="D108" s="69"/>
      <c r="E108" s="69"/>
      <c r="F108" s="69">
        <v>22823.8</v>
      </c>
      <c r="G108" s="69"/>
    </row>
    <row r="109" spans="2:7" x14ac:dyDescent="0.3">
      <c r="B109" s="23">
        <v>3132</v>
      </c>
      <c r="C109" s="73" t="s">
        <v>78</v>
      </c>
      <c r="D109" s="69"/>
      <c r="E109" s="69"/>
      <c r="F109" s="69">
        <v>3765.92</v>
      </c>
      <c r="G109" s="69"/>
    </row>
    <row r="110" spans="2:7" x14ac:dyDescent="0.3">
      <c r="B110" s="23">
        <v>32</v>
      </c>
      <c r="C110" s="73" t="s">
        <v>15</v>
      </c>
      <c r="D110" s="74">
        <v>244000</v>
      </c>
      <c r="E110" s="74">
        <v>244000</v>
      </c>
      <c r="F110" s="74">
        <f>SUM(F111:F115)</f>
        <v>251243.45999999996</v>
      </c>
      <c r="G110" s="69">
        <f>(F110/D110*100)</f>
        <v>102.96863114754098</v>
      </c>
    </row>
    <row r="111" spans="2:7" x14ac:dyDescent="0.3">
      <c r="B111" s="23">
        <v>3211</v>
      </c>
      <c r="C111" s="73" t="s">
        <v>38</v>
      </c>
      <c r="D111" s="69"/>
      <c r="E111" s="69"/>
      <c r="F111" s="69">
        <v>41951.49</v>
      </c>
      <c r="G111" s="69"/>
    </row>
    <row r="112" spans="2:7" x14ac:dyDescent="0.3">
      <c r="B112" s="23">
        <v>3233</v>
      </c>
      <c r="C112" s="73" t="s">
        <v>90</v>
      </c>
      <c r="D112" s="69"/>
      <c r="E112" s="69"/>
      <c r="F112" s="69">
        <v>6381</v>
      </c>
      <c r="G112" s="69"/>
    </row>
    <row r="113" spans="2:7" x14ac:dyDescent="0.3">
      <c r="B113" s="23">
        <v>3237</v>
      </c>
      <c r="C113" s="73" t="s">
        <v>94</v>
      </c>
      <c r="D113" s="69"/>
      <c r="E113" s="69"/>
      <c r="F113" s="69">
        <v>176584.27</v>
      </c>
      <c r="G113" s="69"/>
    </row>
    <row r="114" spans="2:7" ht="26.4" x14ac:dyDescent="0.3">
      <c r="B114" s="23">
        <v>3241</v>
      </c>
      <c r="C114" s="73" t="s">
        <v>97</v>
      </c>
      <c r="D114" s="69"/>
      <c r="E114" s="69"/>
      <c r="F114" s="69">
        <v>22167.8</v>
      </c>
      <c r="G114" s="69"/>
    </row>
    <row r="115" spans="2:7" x14ac:dyDescent="0.3">
      <c r="B115" s="23">
        <v>3293</v>
      </c>
      <c r="C115" s="73" t="s">
        <v>100</v>
      </c>
      <c r="D115" s="69"/>
      <c r="E115" s="69"/>
      <c r="F115" s="69">
        <v>4158.8999999999996</v>
      </c>
      <c r="G115" s="69"/>
    </row>
    <row r="116" spans="2:7" ht="52.8" x14ac:dyDescent="0.3">
      <c r="B116" s="95" t="s">
        <v>127</v>
      </c>
      <c r="C116" s="96" t="s">
        <v>142</v>
      </c>
      <c r="D116" s="97">
        <f>D117</f>
        <v>46000</v>
      </c>
      <c r="E116" s="97">
        <f>E117</f>
        <v>46000</v>
      </c>
      <c r="F116" s="97">
        <f>F117</f>
        <v>43210.38</v>
      </c>
      <c r="G116" s="98">
        <f>(F116/D116*100)</f>
        <v>93.935608695652178</v>
      </c>
    </row>
    <row r="117" spans="2:7" x14ac:dyDescent="0.3">
      <c r="B117" s="95">
        <v>31</v>
      </c>
      <c r="C117" s="96" t="s">
        <v>136</v>
      </c>
      <c r="D117" s="97">
        <f t="shared" ref="D117:E117" si="8">D118</f>
        <v>46000</v>
      </c>
      <c r="E117" s="97">
        <f t="shared" si="8"/>
        <v>46000</v>
      </c>
      <c r="F117" s="97">
        <f t="shared" ref="F117" si="9">F118</f>
        <v>43210.38</v>
      </c>
      <c r="G117" s="98">
        <f>(F117/D117*100)</f>
        <v>93.935608695652178</v>
      </c>
    </row>
    <row r="118" spans="2:7" x14ac:dyDescent="0.3">
      <c r="B118" s="23">
        <v>32</v>
      </c>
      <c r="C118" s="73" t="s">
        <v>5</v>
      </c>
      <c r="D118" s="74">
        <v>46000</v>
      </c>
      <c r="E118" s="74">
        <v>46000</v>
      </c>
      <c r="F118" s="74">
        <f>SUM(F119:F121)</f>
        <v>43210.38</v>
      </c>
      <c r="G118" s="69">
        <f>(F118/D118*100)</f>
        <v>93.935608695652178</v>
      </c>
    </row>
    <row r="119" spans="2:7" x14ac:dyDescent="0.3">
      <c r="B119" s="23">
        <v>3211</v>
      </c>
      <c r="C119" s="73" t="s">
        <v>38</v>
      </c>
      <c r="D119" s="69"/>
      <c r="E119" s="69"/>
      <c r="F119" s="69">
        <v>1038.8599999999999</v>
      </c>
      <c r="G119" s="69"/>
    </row>
    <row r="120" spans="2:7" x14ac:dyDescent="0.3">
      <c r="B120" s="23">
        <v>3237</v>
      </c>
      <c r="C120" s="73" t="s">
        <v>94</v>
      </c>
      <c r="D120" s="69"/>
      <c r="E120" s="69"/>
      <c r="F120" s="69">
        <v>39434.129999999997</v>
      </c>
      <c r="G120" s="69"/>
    </row>
    <row r="121" spans="2:7" ht="26.4" x14ac:dyDescent="0.3">
      <c r="B121" s="23">
        <v>3241</v>
      </c>
      <c r="C121" s="73" t="s">
        <v>97</v>
      </c>
      <c r="D121" s="69"/>
      <c r="E121" s="69"/>
      <c r="F121" s="69">
        <v>2737.39</v>
      </c>
      <c r="G121" s="69"/>
    </row>
    <row r="122" spans="2:7" ht="39.6" x14ac:dyDescent="0.3">
      <c r="B122" s="95" t="s">
        <v>128</v>
      </c>
      <c r="C122" s="96" t="s">
        <v>143</v>
      </c>
      <c r="D122" s="97">
        <f>D123</f>
        <v>15000</v>
      </c>
      <c r="E122" s="97">
        <f>E123</f>
        <v>15000</v>
      </c>
      <c r="F122" s="97">
        <f>F123</f>
        <v>13972.77</v>
      </c>
      <c r="G122" s="98">
        <f>(F122/D122*100)</f>
        <v>93.151800000000009</v>
      </c>
    </row>
    <row r="123" spans="2:7" x14ac:dyDescent="0.3">
      <c r="B123" s="95">
        <v>31</v>
      </c>
      <c r="C123" s="96" t="s">
        <v>136</v>
      </c>
      <c r="D123" s="97">
        <f t="shared" ref="D123:F123" si="10">D124</f>
        <v>15000</v>
      </c>
      <c r="E123" s="97">
        <f t="shared" si="10"/>
        <v>15000</v>
      </c>
      <c r="F123" s="97">
        <f t="shared" si="10"/>
        <v>13972.77</v>
      </c>
      <c r="G123" s="98">
        <f>(F123/D123*100)</f>
        <v>93.151800000000009</v>
      </c>
    </row>
    <row r="124" spans="2:7" x14ac:dyDescent="0.3">
      <c r="B124" s="23">
        <v>32</v>
      </c>
      <c r="C124" s="73" t="s">
        <v>15</v>
      </c>
      <c r="D124" s="69">
        <v>15000</v>
      </c>
      <c r="E124" s="69">
        <v>15000</v>
      </c>
      <c r="F124" s="69">
        <f>SUM(F125:F126)</f>
        <v>13972.77</v>
      </c>
      <c r="G124" s="69">
        <f>(F124/D124*100)</f>
        <v>93.151800000000009</v>
      </c>
    </row>
    <row r="125" spans="2:7" x14ac:dyDescent="0.3">
      <c r="B125" s="23">
        <v>3237</v>
      </c>
      <c r="C125" s="73" t="s">
        <v>94</v>
      </c>
      <c r="D125" s="69"/>
      <c r="E125" s="69"/>
      <c r="F125" s="69">
        <v>1791.76</v>
      </c>
      <c r="G125" s="69"/>
    </row>
    <row r="126" spans="2:7" ht="26.4" x14ac:dyDescent="0.3">
      <c r="B126" s="23">
        <v>3241</v>
      </c>
      <c r="C126" s="73" t="s">
        <v>97</v>
      </c>
      <c r="D126" s="69"/>
      <c r="E126" s="69"/>
      <c r="F126" s="69">
        <v>12181.01</v>
      </c>
      <c r="G126" s="69"/>
    </row>
    <row r="127" spans="2:7" ht="26.4" x14ac:dyDescent="0.3">
      <c r="B127" s="95" t="s">
        <v>129</v>
      </c>
      <c r="C127" s="96" t="s">
        <v>144</v>
      </c>
      <c r="D127" s="97">
        <f>D128</f>
        <v>1000</v>
      </c>
      <c r="E127" s="97">
        <f>E128</f>
        <v>1000</v>
      </c>
      <c r="F127" s="97">
        <f>F128</f>
        <v>47503.95</v>
      </c>
      <c r="G127" s="98">
        <f>(F127/D127*100)</f>
        <v>4750.3949999999995</v>
      </c>
    </row>
    <row r="128" spans="2:7" x14ac:dyDescent="0.3">
      <c r="B128" s="95">
        <v>31</v>
      </c>
      <c r="C128" s="96" t="s">
        <v>136</v>
      </c>
      <c r="D128" s="97">
        <f t="shared" ref="D128:F128" si="11">D129</f>
        <v>1000</v>
      </c>
      <c r="E128" s="97">
        <f t="shared" si="11"/>
        <v>1000</v>
      </c>
      <c r="F128" s="97">
        <f t="shared" si="11"/>
        <v>47503.95</v>
      </c>
      <c r="G128" s="98">
        <f>(F128/D128*100)</f>
        <v>4750.3949999999995</v>
      </c>
    </row>
    <row r="129" spans="2:7" x14ac:dyDescent="0.3">
      <c r="B129" s="23">
        <v>32</v>
      </c>
      <c r="C129" s="73" t="s">
        <v>15</v>
      </c>
      <c r="D129" s="69">
        <v>1000</v>
      </c>
      <c r="E129" s="69">
        <v>1000</v>
      </c>
      <c r="F129" s="69">
        <f>SUM(F130:F131)</f>
        <v>47503.95</v>
      </c>
      <c r="G129" s="69">
        <f>(F129/D129*100)</f>
        <v>4750.3949999999995</v>
      </c>
    </row>
    <row r="130" spans="2:7" x14ac:dyDescent="0.3">
      <c r="B130" s="23">
        <v>3237</v>
      </c>
      <c r="C130" s="73" t="s">
        <v>94</v>
      </c>
      <c r="D130" s="69"/>
      <c r="E130" s="69"/>
      <c r="F130" s="69">
        <v>0</v>
      </c>
      <c r="G130" s="69"/>
    </row>
    <row r="131" spans="2:7" ht="26.4" x14ac:dyDescent="0.3">
      <c r="B131" s="23">
        <v>3241</v>
      </c>
      <c r="C131" s="73" t="s">
        <v>97</v>
      </c>
      <c r="D131" s="69"/>
      <c r="E131" s="69"/>
      <c r="F131" s="69">
        <v>47503.95</v>
      </c>
      <c r="G131" s="69"/>
    </row>
    <row r="132" spans="2:7" ht="39.6" x14ac:dyDescent="0.3">
      <c r="B132" s="95" t="s">
        <v>130</v>
      </c>
      <c r="C132" s="96" t="s">
        <v>145</v>
      </c>
      <c r="D132" s="97">
        <f t="shared" ref="D132:F133" si="12">D133</f>
        <v>94000</v>
      </c>
      <c r="E132" s="97">
        <f t="shared" si="12"/>
        <v>94000</v>
      </c>
      <c r="F132" s="97">
        <f t="shared" si="12"/>
        <v>91954.299999999988</v>
      </c>
      <c r="G132" s="98">
        <f>(F132/D132*100)</f>
        <v>97.823723404255304</v>
      </c>
    </row>
    <row r="133" spans="2:7" x14ac:dyDescent="0.3">
      <c r="B133" s="95">
        <v>31</v>
      </c>
      <c r="C133" s="96" t="s">
        <v>136</v>
      </c>
      <c r="D133" s="97">
        <f t="shared" si="12"/>
        <v>94000</v>
      </c>
      <c r="E133" s="97">
        <f t="shared" si="12"/>
        <v>94000</v>
      </c>
      <c r="F133" s="97">
        <f t="shared" si="12"/>
        <v>91954.299999999988</v>
      </c>
      <c r="G133" s="98">
        <f>(F133/D133*100)</f>
        <v>97.823723404255304</v>
      </c>
    </row>
    <row r="134" spans="2:7" x14ac:dyDescent="0.3">
      <c r="B134" s="23">
        <v>32</v>
      </c>
      <c r="C134" s="73" t="s">
        <v>15</v>
      </c>
      <c r="D134" s="69">
        <v>94000</v>
      </c>
      <c r="E134" s="69">
        <v>94000</v>
      </c>
      <c r="F134" s="74">
        <f>SUM(F135:F137)</f>
        <v>91954.299999999988</v>
      </c>
      <c r="G134" s="69">
        <f>(F134/D134*100)</f>
        <v>97.823723404255304</v>
      </c>
    </row>
    <row r="135" spans="2:7" x14ac:dyDescent="0.3">
      <c r="B135" s="23">
        <v>3233</v>
      </c>
      <c r="C135" s="73" t="s">
        <v>90</v>
      </c>
      <c r="D135" s="69"/>
      <c r="E135" s="69"/>
      <c r="F135" s="69">
        <v>4500</v>
      </c>
      <c r="G135" s="69"/>
    </row>
    <row r="136" spans="2:7" x14ac:dyDescent="0.3">
      <c r="B136" s="23">
        <v>3237</v>
      </c>
      <c r="C136" s="73" t="s">
        <v>94</v>
      </c>
      <c r="D136" s="69"/>
      <c r="E136" s="69"/>
      <c r="F136" s="69">
        <v>1791.76</v>
      </c>
      <c r="G136" s="69"/>
    </row>
    <row r="137" spans="2:7" ht="26.4" x14ac:dyDescent="0.3">
      <c r="B137" s="23">
        <v>3241</v>
      </c>
      <c r="C137" s="73" t="s">
        <v>97</v>
      </c>
      <c r="D137" s="69"/>
      <c r="E137" s="69"/>
      <c r="F137" s="69">
        <v>85662.54</v>
      </c>
      <c r="G137" s="69"/>
    </row>
    <row r="138" spans="2:7" ht="26.4" x14ac:dyDescent="0.3">
      <c r="B138" s="95" t="s">
        <v>131</v>
      </c>
      <c r="C138" s="96" t="s">
        <v>146</v>
      </c>
      <c r="D138" s="97">
        <f t="shared" ref="D138:F139" si="13">D139</f>
        <v>23000</v>
      </c>
      <c r="E138" s="97">
        <f t="shared" si="13"/>
        <v>23000</v>
      </c>
      <c r="F138" s="97">
        <f t="shared" si="13"/>
        <v>1343.81</v>
      </c>
      <c r="G138" s="98">
        <f>(F138/D138*100)</f>
        <v>5.8426521739130433</v>
      </c>
    </row>
    <row r="139" spans="2:7" x14ac:dyDescent="0.3">
      <c r="B139" s="95">
        <v>31</v>
      </c>
      <c r="C139" s="96" t="s">
        <v>136</v>
      </c>
      <c r="D139" s="97">
        <f t="shared" si="13"/>
        <v>23000</v>
      </c>
      <c r="E139" s="97">
        <f t="shared" si="13"/>
        <v>23000</v>
      </c>
      <c r="F139" s="97">
        <f t="shared" si="13"/>
        <v>1343.81</v>
      </c>
      <c r="G139" s="98">
        <f>(F139/D139*100)</f>
        <v>5.8426521739130433</v>
      </c>
    </row>
    <row r="140" spans="2:7" x14ac:dyDescent="0.3">
      <c r="B140" s="23">
        <v>32</v>
      </c>
      <c r="C140" s="73" t="s">
        <v>15</v>
      </c>
      <c r="D140" s="74">
        <v>23000</v>
      </c>
      <c r="E140" s="74">
        <v>23000</v>
      </c>
      <c r="F140" s="74">
        <f>SUM(F141:F143)</f>
        <v>1343.81</v>
      </c>
      <c r="G140" s="69">
        <f>(F140/D140*100)</f>
        <v>5.8426521739130433</v>
      </c>
    </row>
    <row r="141" spans="2:7" x14ac:dyDescent="0.3">
      <c r="B141" s="23">
        <v>3233</v>
      </c>
      <c r="C141" s="73" t="s">
        <v>90</v>
      </c>
      <c r="D141" s="69"/>
      <c r="E141" s="69"/>
      <c r="F141" s="69">
        <v>0</v>
      </c>
      <c r="G141" s="69"/>
    </row>
    <row r="142" spans="2:7" x14ac:dyDescent="0.3">
      <c r="B142" s="23">
        <v>3237</v>
      </c>
      <c r="C142" s="73" t="s">
        <v>94</v>
      </c>
      <c r="D142" s="69"/>
      <c r="E142" s="69"/>
      <c r="F142" s="69">
        <v>1343.81</v>
      </c>
      <c r="G142" s="69"/>
    </row>
    <row r="143" spans="2:7" ht="26.4" x14ac:dyDescent="0.3">
      <c r="B143" s="23">
        <v>3241</v>
      </c>
      <c r="C143" s="73" t="s">
        <v>97</v>
      </c>
      <c r="D143" s="69"/>
      <c r="E143" s="69"/>
      <c r="F143" s="69">
        <v>0</v>
      </c>
      <c r="G143" s="69"/>
    </row>
    <row r="144" spans="2:7" ht="52.8" x14ac:dyDescent="0.3">
      <c r="B144" s="95" t="s">
        <v>132</v>
      </c>
      <c r="C144" s="96" t="s">
        <v>147</v>
      </c>
      <c r="D144" s="97">
        <f t="shared" ref="D144:F145" si="14">D145</f>
        <v>40000</v>
      </c>
      <c r="E144" s="97">
        <f t="shared" si="14"/>
        <v>40000</v>
      </c>
      <c r="F144" s="97">
        <f t="shared" si="14"/>
        <v>37930.69</v>
      </c>
      <c r="G144" s="98">
        <f>(F144/D144*100)</f>
        <v>94.826724999999996</v>
      </c>
    </row>
    <row r="145" spans="2:7" x14ac:dyDescent="0.3">
      <c r="B145" s="95">
        <v>31</v>
      </c>
      <c r="C145" s="96" t="s">
        <v>136</v>
      </c>
      <c r="D145" s="97">
        <f t="shared" si="14"/>
        <v>40000</v>
      </c>
      <c r="E145" s="97">
        <f t="shared" si="14"/>
        <v>40000</v>
      </c>
      <c r="F145" s="97">
        <f t="shared" si="14"/>
        <v>37930.69</v>
      </c>
      <c r="G145" s="98">
        <f>(F145/D145*100)</f>
        <v>94.826724999999996</v>
      </c>
    </row>
    <row r="146" spans="2:7" x14ac:dyDescent="0.3">
      <c r="B146" s="23">
        <v>32</v>
      </c>
      <c r="C146" s="73" t="s">
        <v>15</v>
      </c>
      <c r="D146" s="69">
        <v>40000</v>
      </c>
      <c r="E146" s="69">
        <v>40000</v>
      </c>
      <c r="F146" s="69">
        <f>SUM(F147:F150)</f>
        <v>37930.69</v>
      </c>
      <c r="G146" s="69">
        <f>(F146/D146*100)</f>
        <v>94.826724999999996</v>
      </c>
    </row>
    <row r="147" spans="2:7" x14ac:dyDescent="0.3">
      <c r="B147" s="23">
        <v>3211</v>
      </c>
      <c r="C147" s="73" t="s">
        <v>38</v>
      </c>
      <c r="D147" s="69"/>
      <c r="E147" s="69"/>
      <c r="F147" s="69">
        <v>675.44</v>
      </c>
      <c r="G147" s="69"/>
    </row>
    <row r="148" spans="2:7" x14ac:dyDescent="0.3">
      <c r="B148" s="23">
        <v>3237</v>
      </c>
      <c r="C148" s="73" t="s">
        <v>94</v>
      </c>
      <c r="D148" s="69"/>
      <c r="E148" s="69"/>
      <c r="F148" s="69">
        <v>32851.25</v>
      </c>
      <c r="G148" s="69"/>
    </row>
    <row r="149" spans="2:7" ht="26.4" x14ac:dyDescent="0.3">
      <c r="B149" s="23">
        <v>3241</v>
      </c>
      <c r="C149" s="73" t="s">
        <v>97</v>
      </c>
      <c r="D149" s="69"/>
      <c r="E149" s="69"/>
      <c r="F149" s="69">
        <v>2356.17</v>
      </c>
      <c r="G149" s="69"/>
    </row>
    <row r="150" spans="2:7" x14ac:dyDescent="0.3">
      <c r="B150" s="23">
        <v>3293</v>
      </c>
      <c r="C150" s="73" t="s">
        <v>100</v>
      </c>
      <c r="D150" s="69"/>
      <c r="E150" s="69"/>
      <c r="F150" s="69">
        <v>2047.83</v>
      </c>
      <c r="G150" s="69"/>
    </row>
    <row r="151" spans="2:7" x14ac:dyDescent="0.3">
      <c r="C151" s="67"/>
    </row>
    <row r="153" spans="2:7" ht="26.4" x14ac:dyDescent="0.3">
      <c r="B153" s="136" t="s">
        <v>8</v>
      </c>
      <c r="C153" s="138"/>
      <c r="D153" s="19" t="s">
        <v>163</v>
      </c>
      <c r="E153" s="19" t="s">
        <v>164</v>
      </c>
      <c r="F153" s="19" t="s">
        <v>162</v>
      </c>
      <c r="G153" s="19" t="s">
        <v>55</v>
      </c>
    </row>
    <row r="154" spans="2:7" x14ac:dyDescent="0.3">
      <c r="B154" s="136">
        <v>1</v>
      </c>
      <c r="C154" s="138"/>
      <c r="D154" s="19">
        <v>2</v>
      </c>
      <c r="E154" s="19">
        <v>3</v>
      </c>
      <c r="F154" s="19">
        <v>4</v>
      </c>
      <c r="G154" s="19" t="s">
        <v>165</v>
      </c>
    </row>
    <row r="155" spans="2:7" ht="39.6" x14ac:dyDescent="0.3">
      <c r="B155" s="101" t="s">
        <v>120</v>
      </c>
      <c r="C155" s="102" t="s">
        <v>121</v>
      </c>
      <c r="D155" s="97">
        <f>SUM(D156:D159)</f>
        <v>15300000</v>
      </c>
      <c r="E155" s="97">
        <f t="shared" ref="E155:F155" si="15">SUM(E156:E159)</f>
        <v>15041000</v>
      </c>
      <c r="F155" s="97">
        <f t="shared" si="15"/>
        <v>14520570.229999999</v>
      </c>
      <c r="G155" s="98">
        <f t="shared" ref="G155:G159" si="16">(F155/D155*100)</f>
        <v>94.905687777777771</v>
      </c>
    </row>
    <row r="156" spans="2:7" x14ac:dyDescent="0.3">
      <c r="B156" s="24">
        <v>11</v>
      </c>
      <c r="C156" s="16" t="s">
        <v>135</v>
      </c>
      <c r="D156" s="69">
        <f>D12</f>
        <v>4004700</v>
      </c>
      <c r="E156" s="69">
        <f t="shared" ref="E156:F156" si="17">E12</f>
        <v>3817700</v>
      </c>
      <c r="F156" s="69">
        <f t="shared" si="17"/>
        <v>3683016.7499999995</v>
      </c>
      <c r="G156" s="69">
        <f t="shared" si="16"/>
        <v>91.967357105401135</v>
      </c>
    </row>
    <row r="157" spans="2:7" x14ac:dyDescent="0.3">
      <c r="B157" s="23">
        <v>12</v>
      </c>
      <c r="C157" s="16" t="s">
        <v>138</v>
      </c>
      <c r="D157" s="69">
        <f>D55</f>
        <v>1596300</v>
      </c>
      <c r="E157" s="69">
        <f t="shared" ref="E157:F157" si="18">E55</f>
        <v>1524300</v>
      </c>
      <c r="F157" s="69">
        <f t="shared" si="18"/>
        <v>1512693.39</v>
      </c>
      <c r="G157" s="69">
        <f t="shared" si="16"/>
        <v>94.762475098665661</v>
      </c>
    </row>
    <row r="158" spans="2:7" x14ac:dyDescent="0.3">
      <c r="B158" s="23">
        <v>31</v>
      </c>
      <c r="C158" s="16" t="s">
        <v>136</v>
      </c>
      <c r="D158" s="69">
        <f>D99+D105+D116+D122+D127+D132+D138+D144+D47</f>
        <v>714000</v>
      </c>
      <c r="E158" s="69">
        <f t="shared" ref="E158:F158" si="19">E99+E105+E116+E122+E127+E132+E138+E144+E47</f>
        <v>714000</v>
      </c>
      <c r="F158" s="69">
        <f t="shared" si="19"/>
        <v>781552.30999999994</v>
      </c>
      <c r="G158" s="69">
        <f t="shared" si="16"/>
        <v>109.46110784313726</v>
      </c>
    </row>
    <row r="159" spans="2:7" x14ac:dyDescent="0.3">
      <c r="B159" s="23">
        <v>563</v>
      </c>
      <c r="C159" s="16" t="s">
        <v>167</v>
      </c>
      <c r="D159" s="69">
        <f>D77</f>
        <v>8985000</v>
      </c>
      <c r="E159" s="69">
        <f t="shared" ref="E159:F159" si="20">E77</f>
        <v>8985000</v>
      </c>
      <c r="F159" s="69">
        <f t="shared" si="20"/>
        <v>8543307.7799999993</v>
      </c>
      <c r="G159" s="69">
        <f t="shared" si="16"/>
        <v>95.084115525876456</v>
      </c>
    </row>
  </sheetData>
  <mergeCells count="6">
    <mergeCell ref="B154:C154"/>
    <mergeCell ref="B4:F4"/>
    <mergeCell ref="B6:C6"/>
    <mergeCell ref="B7:C7"/>
    <mergeCell ref="B2:F2"/>
    <mergeCell ref="B153:C153"/>
  </mergeCells>
  <pageMargins left="0.7" right="0.7" top="0.75" bottom="0.75" header="0.3" footer="0.3"/>
  <pageSetup paperSize="9"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rashoda'!Print_Area</vt:lpstr>
      <vt:lpstr>SAŽETAK!Print_Area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Anamarija Boričević</cp:lastModifiedBy>
  <cp:lastPrinted>2023-08-03T12:00:06Z</cp:lastPrinted>
  <dcterms:created xsi:type="dcterms:W3CDTF">2022-08-12T12:51:27Z</dcterms:created>
  <dcterms:modified xsi:type="dcterms:W3CDTF">2024-05-16T12:18:02Z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</Properties>
</file>